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2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m226/Documents/publications/UDSv3/1_Norms/"/>
    </mc:Choice>
  </mc:AlternateContent>
  <xr:revisionPtr revIDLastSave="0" documentId="13_ncr:1_{68A5B536-8D03-A644-8A8B-B2D7ABB11EA8}" xr6:coauthVersionLast="47" xr6:coauthVersionMax="47" xr10:uidLastSave="{00000000-0000-0000-0000-000000000000}"/>
  <workbookProtection workbookAlgorithmName="SHA-512" workbookHashValue="/0nkM7zZdD2JqddX3y3mlIcxoX/AIe2b+90HbkemdmB+SLmUYj9FsZdsd2l0OIiqIVTPKg/KpurWu3a3hLE6UA==" workbookSaltValue="/NAsCzm2GRn4rVHqHesLLA==" workbookSpinCount="100000" lockStructure="1"/>
  <bookViews>
    <workbookView xWindow="0" yWindow="780" windowWidth="23300" windowHeight="19960" activeTab="1" xr2:uid="{00000000-000D-0000-FFFF-FFFF00000000}"/>
  </bookViews>
  <sheets>
    <sheet name="Instructions" sheetId="7" r:id="rId1"/>
    <sheet name="Norms Calculator" sheetId="6" r:id="rId2"/>
    <sheet name="Regression" sheetId="1" r:id="rId3"/>
    <sheet name="Sex" sheetId="2" r:id="rId4"/>
    <sheet name="Age" sheetId="3" r:id="rId5"/>
    <sheet name="Education" sheetId="4" r:id="rId6"/>
    <sheet name="Intercept" sheetId="5" r:id="rId7"/>
  </sheets>
  <definedNames>
    <definedName name="_Age">Age!$A$2:$G$30</definedName>
    <definedName name="_Sex">Sex!$A$2:$G$30</definedName>
    <definedName name="Education">Education!$A$2:$G$30</definedName>
    <definedName name="Intercept">Intercept!$A$2:$E$30</definedName>
    <definedName name="Regression">Regression!$A$2:$K$30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6" l="1"/>
  <c r="B31" i="6"/>
  <c r="C44" i="6" l="1"/>
  <c r="C43" i="6"/>
  <c r="C46" i="6"/>
  <c r="C45" i="6"/>
  <c r="C39" i="6"/>
  <c r="C36" i="6"/>
  <c r="C8" i="6"/>
  <c r="B28" i="6" l="1"/>
  <c r="B27" i="6"/>
  <c r="C4" i="6" l="1"/>
  <c r="C3" i="6"/>
  <c r="D7" i="6" l="1"/>
  <c r="D6" i="6"/>
  <c r="B47" i="6" l="1"/>
  <c r="B30" i="6" s="1"/>
  <c r="J30" i="6" l="1"/>
  <c r="K30" i="6" s="1"/>
  <c r="D30" i="6"/>
  <c r="E30" i="6" s="1"/>
  <c r="H30" i="6"/>
  <c r="I30" i="6" s="1"/>
  <c r="F30" i="6"/>
  <c r="G30" i="6" s="1"/>
  <c r="L30" i="6"/>
  <c r="M30" i="6" s="1"/>
  <c r="B40" i="6"/>
  <c r="B37" i="6"/>
  <c r="L13" i="6"/>
  <c r="M13" i="6" s="1"/>
  <c r="L11" i="6"/>
  <c r="M11" i="6" s="1"/>
  <c r="J13" i="6"/>
  <c r="K13" i="6" s="1"/>
  <c r="J11" i="6"/>
  <c r="K11" i="6" s="1"/>
  <c r="H13" i="6"/>
  <c r="I13" i="6" s="1"/>
  <c r="H11" i="6"/>
  <c r="I11" i="6" s="1"/>
  <c r="F13" i="6"/>
  <c r="G13" i="6" s="1"/>
  <c r="F11" i="6"/>
  <c r="G11" i="6" s="1"/>
  <c r="D13" i="6"/>
  <c r="E13" i="6" s="1"/>
  <c r="D11" i="6"/>
  <c r="E11" i="6" s="1"/>
  <c r="L7" i="6"/>
  <c r="M7" i="6" s="1"/>
  <c r="L8" i="6"/>
  <c r="M8" i="6" s="1"/>
  <c r="L9" i="6"/>
  <c r="M9" i="6" s="1"/>
  <c r="L10" i="6"/>
  <c r="M10" i="6" s="1"/>
  <c r="L15" i="6"/>
  <c r="M15" i="6" s="1"/>
  <c r="L16" i="6"/>
  <c r="M16" i="6" s="1"/>
  <c r="L17" i="6"/>
  <c r="M17" i="6" s="1"/>
  <c r="L18" i="6"/>
  <c r="M18" i="6" s="1"/>
  <c r="L19" i="6"/>
  <c r="M19" i="6" s="1"/>
  <c r="L20" i="6"/>
  <c r="M20" i="6" s="1"/>
  <c r="L21" i="6"/>
  <c r="M21" i="6" s="1"/>
  <c r="L22" i="6"/>
  <c r="M22" i="6" s="1"/>
  <c r="L23" i="6"/>
  <c r="M23" i="6" s="1"/>
  <c r="L24" i="6"/>
  <c r="M24" i="6" s="1"/>
  <c r="L25" i="6"/>
  <c r="M25" i="6" s="1"/>
  <c r="L26" i="6"/>
  <c r="M26" i="6" s="1"/>
  <c r="L6" i="6"/>
  <c r="M6" i="6" s="1"/>
  <c r="J7" i="6"/>
  <c r="K7" i="6" s="1"/>
  <c r="J8" i="6"/>
  <c r="K8" i="6" s="1"/>
  <c r="J9" i="6"/>
  <c r="K9" i="6" s="1"/>
  <c r="J10" i="6"/>
  <c r="K10" i="6" s="1"/>
  <c r="J15" i="6"/>
  <c r="K15" i="6" s="1"/>
  <c r="J16" i="6"/>
  <c r="K16" i="6" s="1"/>
  <c r="J17" i="6"/>
  <c r="K17" i="6" s="1"/>
  <c r="J18" i="6"/>
  <c r="K18" i="6" s="1"/>
  <c r="J19" i="6"/>
  <c r="K19" i="6" s="1"/>
  <c r="J20" i="6"/>
  <c r="K20" i="6" s="1"/>
  <c r="J21" i="6"/>
  <c r="K21" i="6" s="1"/>
  <c r="J22" i="6"/>
  <c r="K22" i="6" s="1"/>
  <c r="J23" i="6"/>
  <c r="K23" i="6" s="1"/>
  <c r="J24" i="6"/>
  <c r="K24" i="6" s="1"/>
  <c r="J25" i="6"/>
  <c r="K25" i="6" s="1"/>
  <c r="J26" i="6"/>
  <c r="K26" i="6" s="1"/>
  <c r="J6" i="6"/>
  <c r="K6" i="6" s="1"/>
  <c r="H6" i="6"/>
  <c r="I6" i="6" s="1"/>
  <c r="H8" i="6"/>
  <c r="I8" i="6" s="1"/>
  <c r="H9" i="6"/>
  <c r="I9" i="6" s="1"/>
  <c r="H10" i="6"/>
  <c r="I10" i="6" s="1"/>
  <c r="H15" i="6"/>
  <c r="I15" i="6" s="1"/>
  <c r="H16" i="6"/>
  <c r="I16" i="6" s="1"/>
  <c r="H17" i="6"/>
  <c r="I17" i="6" s="1"/>
  <c r="H18" i="6"/>
  <c r="I18" i="6" s="1"/>
  <c r="H19" i="6"/>
  <c r="I19" i="6" s="1"/>
  <c r="H20" i="6"/>
  <c r="I20" i="6" s="1"/>
  <c r="H21" i="6"/>
  <c r="I21" i="6" s="1"/>
  <c r="H22" i="6"/>
  <c r="I22" i="6" s="1"/>
  <c r="H23" i="6"/>
  <c r="I23" i="6" s="1"/>
  <c r="H24" i="6"/>
  <c r="I24" i="6" s="1"/>
  <c r="H25" i="6"/>
  <c r="I25" i="6" s="1"/>
  <c r="H26" i="6"/>
  <c r="I26" i="6" s="1"/>
  <c r="H7" i="6"/>
  <c r="I7" i="6" s="1"/>
  <c r="F7" i="6"/>
  <c r="G7" i="6" s="1"/>
  <c r="F8" i="6"/>
  <c r="G8" i="6" s="1"/>
  <c r="F9" i="6"/>
  <c r="G9" i="6" s="1"/>
  <c r="F10" i="6"/>
  <c r="G10" i="6" s="1"/>
  <c r="F15" i="6"/>
  <c r="G15" i="6" s="1"/>
  <c r="F16" i="6"/>
  <c r="G16" i="6" s="1"/>
  <c r="F17" i="6"/>
  <c r="G17" i="6" s="1"/>
  <c r="F18" i="6"/>
  <c r="G18" i="6" s="1"/>
  <c r="F19" i="6"/>
  <c r="G19" i="6" s="1"/>
  <c r="F20" i="6"/>
  <c r="G20" i="6" s="1"/>
  <c r="F21" i="6"/>
  <c r="G21" i="6" s="1"/>
  <c r="F22" i="6"/>
  <c r="G22" i="6" s="1"/>
  <c r="F23" i="6"/>
  <c r="G23" i="6" s="1"/>
  <c r="F24" i="6"/>
  <c r="G24" i="6" s="1"/>
  <c r="F25" i="6"/>
  <c r="G25" i="6" s="1"/>
  <c r="F26" i="6"/>
  <c r="G26" i="6" s="1"/>
  <c r="F6" i="6"/>
  <c r="G6" i="6" s="1"/>
  <c r="E6" i="6"/>
  <c r="E7" i="6"/>
  <c r="D8" i="6"/>
  <c r="E8" i="6" s="1"/>
  <c r="D9" i="6"/>
  <c r="E9" i="6" s="1"/>
  <c r="D10" i="6"/>
  <c r="E10" i="6" s="1"/>
  <c r="D15" i="6"/>
  <c r="E15" i="6" s="1"/>
  <c r="D16" i="6"/>
  <c r="E16" i="6" s="1"/>
  <c r="D17" i="6"/>
  <c r="E17" i="6" s="1"/>
  <c r="D18" i="6"/>
  <c r="E18" i="6" s="1"/>
  <c r="D19" i="6"/>
  <c r="E19" i="6" s="1"/>
  <c r="D20" i="6"/>
  <c r="E20" i="6" s="1"/>
  <c r="D21" i="6"/>
  <c r="E21" i="6" s="1"/>
  <c r="D22" i="6"/>
  <c r="E22" i="6" s="1"/>
  <c r="D23" i="6"/>
  <c r="E23" i="6" s="1"/>
  <c r="D24" i="6"/>
  <c r="E24" i="6" s="1"/>
  <c r="D25" i="6"/>
  <c r="E25" i="6" s="1"/>
  <c r="D26" i="6"/>
  <c r="E26" i="6" s="1"/>
  <c r="C18" i="6"/>
  <c r="C19" i="6"/>
  <c r="C17" i="6"/>
  <c r="C16" i="6"/>
  <c r="C15" i="6"/>
  <c r="C22" i="6"/>
  <c r="C26" i="6"/>
  <c r="C25" i="6"/>
  <c r="C21" i="6"/>
  <c r="C24" i="6"/>
  <c r="C23" i="6"/>
  <c r="C13" i="6"/>
  <c r="C20" i="6"/>
  <c r="C11" i="6"/>
  <c r="C10" i="6"/>
  <c r="C9" i="6"/>
  <c r="C7" i="6"/>
  <c r="C6" i="6"/>
  <c r="J32" i="6"/>
  <c r="K32" i="6" s="1"/>
  <c r="D31" i="6"/>
  <c r="E31" i="6" s="1"/>
  <c r="B29" i="6"/>
  <c r="C5" i="6"/>
  <c r="C2" i="6"/>
  <c r="B38" i="6" l="1"/>
  <c r="B12" i="6" s="1"/>
  <c r="H12" i="6" s="1"/>
  <c r="I12" i="6" s="1"/>
  <c r="C37" i="6"/>
  <c r="B41" i="6"/>
  <c r="B14" i="6" s="1"/>
  <c r="H14" i="6" s="1"/>
  <c r="I14" i="6" s="1"/>
  <c r="C40" i="6"/>
  <c r="B33" i="6"/>
  <c r="J33" i="6" s="1"/>
  <c r="K33" i="6" s="1"/>
  <c r="J31" i="6"/>
  <c r="K31" i="6" s="1"/>
  <c r="F12" i="6"/>
  <c r="G12" i="6" s="1"/>
  <c r="J12" i="6"/>
  <c r="K12" i="6" s="1"/>
  <c r="D12" i="6"/>
  <c r="E12" i="6" s="1"/>
  <c r="J14" i="6"/>
  <c r="K14" i="6" s="1"/>
  <c r="F32" i="6"/>
  <c r="G32" i="6" s="1"/>
  <c r="H32" i="6"/>
  <c r="I32" i="6" s="1"/>
  <c r="F31" i="6"/>
  <c r="G31" i="6" s="1"/>
  <c r="H31" i="6"/>
  <c r="I31" i="6" s="1"/>
  <c r="L32" i="6"/>
  <c r="M32" i="6" s="1"/>
  <c r="L31" i="6"/>
  <c r="M31" i="6" s="1"/>
  <c r="J27" i="6"/>
  <c r="K27" i="6" s="1"/>
  <c r="F27" i="6"/>
  <c r="G27" i="6" s="1"/>
  <c r="D27" i="6"/>
  <c r="E27" i="6" s="1"/>
  <c r="H27" i="6"/>
  <c r="I27" i="6" s="1"/>
  <c r="L27" i="6"/>
  <c r="M27" i="6" s="1"/>
  <c r="F28" i="6"/>
  <c r="G28" i="6" s="1"/>
  <c r="J28" i="6"/>
  <c r="K28" i="6" s="1"/>
  <c r="D28" i="6"/>
  <c r="E28" i="6" s="1"/>
  <c r="H28" i="6"/>
  <c r="I28" i="6" s="1"/>
  <c r="L28" i="6"/>
  <c r="M28" i="6" s="1"/>
  <c r="L29" i="6"/>
  <c r="M29" i="6" s="1"/>
  <c r="J29" i="6"/>
  <c r="K29" i="6" s="1"/>
  <c r="D29" i="6"/>
  <c r="E29" i="6" s="1"/>
  <c r="H29" i="6"/>
  <c r="I29" i="6" s="1"/>
  <c r="F29" i="6"/>
  <c r="G29" i="6" s="1"/>
  <c r="D32" i="6"/>
  <c r="E32" i="6" s="1"/>
  <c r="F14" i="6"/>
  <c r="G14" i="6" s="1"/>
  <c r="D14" i="6"/>
  <c r="E14" i="6" s="1"/>
  <c r="L12" i="6"/>
  <c r="M12" i="6" s="1"/>
  <c r="L14" i="6" l="1"/>
  <c r="M14" i="6" s="1"/>
  <c r="L33" i="6"/>
  <c r="M33" i="6" s="1"/>
  <c r="F33" i="6"/>
  <c r="G33" i="6" s="1"/>
  <c r="D33" i="6"/>
  <c r="E33" i="6" s="1"/>
  <c r="H33" i="6"/>
  <c r="I33" i="6" s="1"/>
</calcChain>
</file>

<file path=xl/sharedStrings.xml><?xml version="1.0" encoding="utf-8"?>
<sst xmlns="http://schemas.openxmlformats.org/spreadsheetml/2006/main" count="312" uniqueCount="120">
  <si>
    <t>Dependent</t>
  </si>
  <si>
    <t>intercept_est1</t>
  </si>
  <si>
    <t>age_est1</t>
  </si>
  <si>
    <t>edu_est1</t>
  </si>
  <si>
    <t>female_est1</t>
  </si>
  <si>
    <t>rmse1</t>
  </si>
  <si>
    <t>Enter Raw Score</t>
  </si>
  <si>
    <t>The raw score you entered is</t>
  </si>
  <si>
    <t>Female=1 Male=0</t>
  </si>
  <si>
    <t>Age in years</t>
  </si>
  <si>
    <t>Years of education</t>
  </si>
  <si>
    <t>Sex, Age &amp; Education</t>
  </si>
  <si>
    <t>Z Score</t>
  </si>
  <si>
    <t>Percentile</t>
  </si>
  <si>
    <t>Sex Only</t>
  </si>
  <si>
    <t>Age Only</t>
  </si>
  <si>
    <t>Education Only</t>
  </si>
  <si>
    <t>No Adjustment</t>
  </si>
  <si>
    <t>MINT, Total Score</t>
  </si>
  <si>
    <t>MoCA, Total Score</t>
  </si>
  <si>
    <t>Phonemic Fluency, P (Spanish), F (English)</t>
  </si>
  <si>
    <t>Phonemic Fluency, M (Spanish), L (English)</t>
  </si>
  <si>
    <t>Phonemic Fluency, P,M (Spanish), F,L (English)</t>
  </si>
  <si>
    <t>Trail Making Test Difference Score</t>
  </si>
  <si>
    <t>Trail Making Test Ratio Score</t>
  </si>
  <si>
    <t>Semantic/Phonemic Fluency Difference Score</t>
  </si>
  <si>
    <t>Error Index Score</t>
  </si>
  <si>
    <t>Verbal/Visual Retention Difference</t>
  </si>
  <si>
    <t>Spanish=1 English=0 (Primary Language)</t>
  </si>
  <si>
    <t>intercept_est0</t>
  </si>
  <si>
    <t>age_est0</t>
  </si>
  <si>
    <t>edu_est0</t>
  </si>
  <si>
    <t>female_est0</t>
  </si>
  <si>
    <t>rmse0</t>
  </si>
  <si>
    <t>derived</t>
  </si>
  <si>
    <t>* Higher scores indicate lower percentile</t>
  </si>
  <si>
    <t>Trail A and Trail B correct lines/time calculator</t>
  </si>
  <si>
    <t>Trail A lines</t>
  </si>
  <si>
    <t>Trail A Time</t>
  </si>
  <si>
    <t>Trail A LT=Trail A lines/Trail A time</t>
  </si>
  <si>
    <t>Trail B lines</t>
  </si>
  <si>
    <t>Trail B Time</t>
  </si>
  <si>
    <t>Trail B LT=Trail B Lines/Trail B Time</t>
  </si>
  <si>
    <t>Error Index Score Calculator</t>
  </si>
  <si>
    <t>Phonemic Fluency (P,M-F,L) Repetitions</t>
  </si>
  <si>
    <t>Phonemic Fluency (P,M-F,L) Intrusions</t>
  </si>
  <si>
    <t>Trail A errors</t>
  </si>
  <si>
    <t>Trail B errors</t>
  </si>
  <si>
    <t>Error Index Score*</t>
  </si>
  <si>
    <t>Trail Making Test Difference Score*</t>
  </si>
  <si>
    <t>Trail Making Test Ratio Score*</t>
  </si>
  <si>
    <t>Semantic/Phonemic Fluency Difference Score*</t>
  </si>
  <si>
    <t>Severely Impaired</t>
  </si>
  <si>
    <t>Moderately Impaired</t>
  </si>
  <si>
    <t>Mildly Impaired</t>
  </si>
  <si>
    <t>Low Average</t>
  </si>
  <si>
    <t>Average</t>
  </si>
  <si>
    <t>High Average</t>
  </si>
  <si>
    <t>Superior</t>
  </si>
  <si>
    <t>Very Superior</t>
  </si>
  <si>
    <t>&lt;1%</t>
  </si>
  <si>
    <t>1%-1.99%</t>
  </si>
  <si>
    <t>2%-8.99%</t>
  </si>
  <si>
    <t>9%-24.99%</t>
  </si>
  <si>
    <t>25%-74.99%</t>
  </si>
  <si>
    <t>75%-90.99%</t>
  </si>
  <si>
    <t>91%-97.99%</t>
  </si>
  <si>
    <t>98%&lt;</t>
  </si>
  <si>
    <t>KEY</t>
  </si>
  <si>
    <t>Descriptor:</t>
  </si>
  <si>
    <t>Percentile Range:</t>
  </si>
  <si>
    <t>Spanish-speaking Latinos*</t>
  </si>
  <si>
    <t>English-speaking Latinos*</t>
  </si>
  <si>
    <t>* refers to preferred language</t>
  </si>
  <si>
    <t>Semantic Fluency, Animal Naming</t>
  </si>
  <si>
    <t>Semantic Fluency, Vegetable Naming</t>
  </si>
  <si>
    <t>Number Span Test Forward, Total Correct</t>
  </si>
  <si>
    <t>Number Span Test Forward, Longest Span</t>
  </si>
  <si>
    <t>Number Span Test Backward, Total Correct</t>
  </si>
  <si>
    <t>Number Span Test Backward, Longest Span</t>
  </si>
  <si>
    <t>Trail Making Test Part A, Time (seconds)*</t>
  </si>
  <si>
    <t>Trail Making Test Part A, Correct lines/Time</t>
  </si>
  <si>
    <t>Trail Making Test Part B, Time (seconds)*</t>
  </si>
  <si>
    <t>Trail Making Test Part B, Correct Lines/Time</t>
  </si>
  <si>
    <t>Benson Complex Figure Copy, Total Score</t>
  </si>
  <si>
    <t>Benson Complex Figure Recall, Total Score</t>
  </si>
  <si>
    <t>Craft Story 21 Recall Immediate Verbatim</t>
  </si>
  <si>
    <t>Craft Story 21 Recall Immediate Paraphrase</t>
  </si>
  <si>
    <t>Craft Story 21 Delay Verbatim</t>
  </si>
  <si>
    <t>Craft Story 21 Delay Paraphrase</t>
  </si>
  <si>
    <t>Craft Story 21, Percent Retained</t>
  </si>
  <si>
    <t>Benson Complex Figure, Percent Retained</t>
  </si>
  <si>
    <t>Trail Making Test Part B, Time (seconds)</t>
  </si>
  <si>
    <t>Trail Making Test Part A, Time (seconds)</t>
  </si>
  <si>
    <t>Created by Rebecca North and Maria Marquine for Version 3 UDS applied to Latino populations with Spanish or English as the primary language. No guarantee or liability implied.</t>
  </si>
  <si>
    <t>This file is meant to facilitate the calculation of normative scores among English- and Spanish-speaking Latinos for tests included in the Uniform Data Set version 3 Neuropsychological Test Battery (Marquine et al., 2023).</t>
  </si>
  <si>
    <r>
      <t xml:space="preserve">Use the </t>
    </r>
    <r>
      <rPr>
        <b/>
        <sz val="11"/>
        <color theme="1"/>
        <rFont val="Calibri"/>
        <family val="2"/>
        <scheme val="minor"/>
      </rPr>
      <t>Norms Calculator</t>
    </r>
    <r>
      <rPr>
        <sz val="11"/>
        <color theme="1"/>
        <rFont val="Calibri"/>
        <family val="2"/>
        <scheme val="minor"/>
      </rPr>
      <t xml:space="preserve"> tab to calculate normed scores for an examinee by following the steps below:</t>
    </r>
  </si>
  <si>
    <r>
      <t xml:space="preserve">2. </t>
    </r>
    <r>
      <rPr>
        <b/>
        <sz val="11"/>
        <color theme="1"/>
        <rFont val="Calibri"/>
        <family val="2"/>
        <scheme val="minor"/>
      </rPr>
      <t>Column B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Row 3</t>
    </r>
    <r>
      <rPr>
        <sz val="11"/>
        <color theme="1"/>
        <rFont val="Calibri"/>
        <family val="2"/>
        <scheme val="minor"/>
      </rPr>
      <t>:  enter current age in years.</t>
    </r>
  </si>
  <si>
    <r>
      <t xml:space="preserve">1. </t>
    </r>
    <r>
      <rPr>
        <b/>
        <sz val="11"/>
        <color theme="1"/>
        <rFont val="Calibri"/>
        <family val="2"/>
        <scheme val="minor"/>
      </rPr>
      <t>Column B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Row 2</t>
    </r>
    <r>
      <rPr>
        <sz val="11"/>
        <color theme="1"/>
        <rFont val="Calibri"/>
        <family val="2"/>
        <scheme val="minor"/>
      </rPr>
      <t>:  enter '1' for female or '0' for male sex.</t>
    </r>
  </si>
  <si>
    <r>
      <t xml:space="preserve">3. </t>
    </r>
    <r>
      <rPr>
        <b/>
        <sz val="11"/>
        <color theme="1"/>
        <rFont val="Calibri"/>
        <family val="2"/>
        <scheme val="minor"/>
      </rPr>
      <t>Column B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Row 4</t>
    </r>
    <r>
      <rPr>
        <sz val="11"/>
        <color theme="1"/>
        <rFont val="Calibri"/>
        <family val="2"/>
        <scheme val="minor"/>
      </rPr>
      <t>:  enter years of education completed.</t>
    </r>
  </si>
  <si>
    <r>
      <t xml:space="preserve">5. </t>
    </r>
    <r>
      <rPr>
        <b/>
        <sz val="11"/>
        <color theme="1"/>
        <rFont val="Calibri"/>
        <family val="2"/>
        <scheme val="minor"/>
      </rPr>
      <t>Column B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Rows 6-11, 13, 15,26, 36, 39, 43-46 (dark orange):</t>
    </r>
    <r>
      <rPr>
        <sz val="11"/>
        <color theme="1"/>
        <rFont val="Calibri"/>
        <family val="2"/>
        <scheme val="minor"/>
      </rPr>
      <t xml:space="preserve">  enter the raw scores the examinee obtained for specific tests. Raw scores in rows in light orange (rows 12, 14, 27-33, 37-38, 40-41, and 47) will be computed automatically.</t>
    </r>
  </si>
  <si>
    <r>
      <t xml:space="preserve">4. </t>
    </r>
    <r>
      <rPr>
        <b/>
        <sz val="11"/>
        <color theme="1"/>
        <rFont val="Calibri"/>
        <family val="2"/>
        <scheme val="minor"/>
      </rPr>
      <t>Column B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Row 5</t>
    </r>
    <r>
      <rPr>
        <sz val="11"/>
        <color theme="1"/>
        <rFont val="Calibri"/>
        <family val="2"/>
        <scheme val="minor"/>
      </rPr>
      <t>:  enter '1' if examinee was tested in Spanish or '0' if examinee was tested in English.</t>
    </r>
  </si>
  <si>
    <r>
      <t xml:space="preserve">6. Once raw scores are entered, </t>
    </r>
    <r>
      <rPr>
        <b/>
        <sz val="11"/>
        <color theme="1"/>
        <rFont val="Calibri"/>
        <family val="2"/>
        <scheme val="minor"/>
      </rPr>
      <t>Columns D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J</t>
    </r>
    <r>
      <rPr>
        <sz val="11"/>
        <color theme="1"/>
        <rFont val="Calibri"/>
        <family val="2"/>
        <scheme val="minor"/>
      </rPr>
      <t xml:space="preserve">, and </t>
    </r>
    <r>
      <rPr>
        <b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 xml:space="preserve"> will show normed z scores: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</si>
  <si>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F</t>
    </r>
    <r>
      <rPr>
        <sz val="11"/>
        <color theme="1"/>
        <rFont val="Calibri"/>
        <family val="2"/>
        <scheme val="minor"/>
      </rPr>
      <t xml:space="preserve"> shows z scores adjusting for sex only.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</si>
  <si>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H</t>
    </r>
    <r>
      <rPr>
        <sz val="11"/>
        <color theme="1"/>
        <rFont val="Calibri"/>
        <family val="2"/>
        <scheme val="minor"/>
      </rPr>
      <t xml:space="preserve"> shows z scores adjusting for years of age only.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</si>
  <si>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J</t>
    </r>
    <r>
      <rPr>
        <sz val="11"/>
        <color theme="1"/>
        <rFont val="Calibri"/>
        <family val="2"/>
        <scheme val="minor"/>
      </rPr>
      <t xml:space="preserve"> shows z scores adjusting for years of education only.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</si>
  <si>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L</t>
    </r>
    <r>
      <rPr>
        <sz val="11"/>
        <color theme="1"/>
        <rFont val="Calibri"/>
        <family val="2"/>
        <scheme val="minor"/>
      </rPr>
      <t xml:space="preserve"> shows z scores without demographic adjustments.</t>
    </r>
  </si>
  <si>
    <r>
      <t xml:space="preserve">7. </t>
    </r>
    <r>
      <rPr>
        <b/>
        <sz val="11"/>
        <color theme="1"/>
        <rFont val="Calibri"/>
        <family val="2"/>
        <scheme val="minor"/>
      </rPr>
      <t>Columns E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 xml:space="preserve">, and </t>
    </r>
    <r>
      <rPr>
        <b/>
        <sz val="11"/>
        <color theme="1"/>
        <rFont val="Calibri"/>
        <family val="2"/>
        <scheme val="minor"/>
      </rPr>
      <t xml:space="preserve">M </t>
    </r>
    <r>
      <rPr>
        <sz val="11"/>
        <color theme="1"/>
        <rFont val="Calibri"/>
        <family val="2"/>
        <scheme val="minor"/>
      </rPr>
      <t>will show normed percentile scores: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</si>
  <si>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G</t>
    </r>
    <r>
      <rPr>
        <sz val="11"/>
        <color theme="1"/>
        <rFont val="Calibri"/>
        <family val="2"/>
        <scheme val="minor"/>
      </rPr>
      <t xml:space="preserve"> shows percentile scores adjusting for sex only.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</si>
  <si>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I</t>
    </r>
    <r>
      <rPr>
        <sz val="11"/>
        <color theme="1"/>
        <rFont val="Calibri"/>
        <family val="2"/>
        <scheme val="minor"/>
      </rPr>
      <t xml:space="preserve"> shows percentile scores adjusting for years of age only.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</si>
  <si>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K</t>
    </r>
    <r>
      <rPr>
        <sz val="11"/>
        <color theme="1"/>
        <rFont val="Calibri"/>
        <family val="2"/>
        <scheme val="minor"/>
      </rPr>
      <t xml:space="preserve"> shows percentile scores adjusting for years of education only.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</si>
  <si>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M</t>
    </r>
    <r>
      <rPr>
        <sz val="11"/>
        <color theme="1"/>
        <rFont val="Calibri"/>
        <family val="2"/>
        <scheme val="minor"/>
      </rPr>
      <t xml:space="preserve"> shows percentile scores without demographic adjustments.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</si>
  <si>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D</t>
    </r>
    <r>
      <rPr>
        <sz val="11"/>
        <color theme="1"/>
        <rFont val="Calibri"/>
        <family val="2"/>
        <scheme val="minor"/>
      </rPr>
      <t xml:space="preserve"> shows z scores adjusting for sex, age, and years of education.</t>
    </r>
  </si>
  <si>
    <r>
      <t xml:space="preserve">       - </t>
    </r>
    <r>
      <rPr>
        <b/>
        <sz val="11"/>
        <color theme="1"/>
        <rFont val="Calibri"/>
        <family val="2"/>
        <scheme val="minor"/>
      </rPr>
      <t>Column E</t>
    </r>
    <r>
      <rPr>
        <sz val="11"/>
        <color theme="1"/>
        <rFont val="Calibri"/>
        <family val="2"/>
        <scheme val="minor"/>
      </rPr>
      <t xml:space="preserve"> shows percentile scores adjusting for sex, age, and years of education.</t>
    </r>
  </si>
  <si>
    <r>
      <t>The tab labeled "</t>
    </r>
    <r>
      <rPr>
        <b/>
        <sz val="11"/>
        <color theme="1"/>
        <rFont val="Calibri"/>
        <family val="2"/>
        <scheme val="minor"/>
      </rPr>
      <t>Education</t>
    </r>
    <r>
      <rPr>
        <sz val="11"/>
        <color theme="1"/>
        <rFont val="Calibri"/>
        <family val="2"/>
        <scheme val="minor"/>
      </rPr>
      <t>" includes the regression equations and root mean squared error (rmse) used to compute normative scores adjusted for years of education only separately for English- and Spanish-speakers.</t>
    </r>
  </si>
  <si>
    <r>
      <t>The tab labeled "</t>
    </r>
    <r>
      <rPr>
        <b/>
        <sz val="11"/>
        <color theme="1"/>
        <rFont val="Calibri"/>
        <family val="2"/>
        <scheme val="minor"/>
      </rPr>
      <t>Regression</t>
    </r>
    <r>
      <rPr>
        <sz val="11"/>
        <color theme="1"/>
        <rFont val="Calibri"/>
        <family val="2"/>
        <scheme val="minor"/>
      </rPr>
      <t>" includes the regression equations and root mean squared error (rmse) used to compute normative scores adjusted for age, education, and sex separately for English- and Spanish-speakers.</t>
    </r>
  </si>
  <si>
    <r>
      <t>The tab labeled "</t>
    </r>
    <r>
      <rPr>
        <b/>
        <sz val="11"/>
        <color theme="1"/>
        <rFont val="Calibri"/>
        <family val="2"/>
        <scheme val="minor"/>
      </rPr>
      <t>Sex</t>
    </r>
    <r>
      <rPr>
        <sz val="11"/>
        <color theme="1"/>
        <rFont val="Calibri"/>
        <family val="2"/>
        <scheme val="minor"/>
      </rPr>
      <t>" includes the regression equations and root mean squared error (rmse) used to compute normative scores adjusted for sex only separately for English- and Spanish-speakers.</t>
    </r>
  </si>
  <si>
    <r>
      <t>The tab labeled "</t>
    </r>
    <r>
      <rPr>
        <b/>
        <sz val="11"/>
        <color theme="1"/>
        <rFont val="Calibri"/>
        <family val="2"/>
        <scheme val="minor"/>
      </rPr>
      <t>Age</t>
    </r>
    <r>
      <rPr>
        <sz val="11"/>
        <color theme="1"/>
        <rFont val="Calibri"/>
        <family val="2"/>
        <scheme val="minor"/>
      </rPr>
      <t>" includes the regression equations and root mean squared error (rmse) used to compute normative scores adjusted for age only separately for English- and Spanish-speakers.</t>
    </r>
  </si>
  <si>
    <r>
      <t>The tab labeled "</t>
    </r>
    <r>
      <rPr>
        <b/>
        <sz val="11"/>
        <color theme="1"/>
        <rFont val="Calibri"/>
        <family val="2"/>
        <scheme val="minor"/>
      </rPr>
      <t>Intercept</t>
    </r>
    <r>
      <rPr>
        <sz val="11"/>
        <color theme="1"/>
        <rFont val="Calibri"/>
        <family val="2"/>
        <scheme val="minor"/>
      </rPr>
      <t>" includes the intercept and root mean squared error (rmse) from regression equations without adjustment separately for English- and Spanish-speakers.</t>
    </r>
  </si>
  <si>
    <r>
      <t xml:space="preserve">Reference: Marquine, Parks, Perales-Puchalt, González, Rosado-Bruno, North, Pieper, Werry, Kiselica, Chapman, Dodge, Gauthreaux, Kukull &amp; Rascovsky (2023). Demographically-adjusted Normative Data among Latinos for the Version 3 of the Alzheimer Disease Centers’ Neuropsychological Test Battery in the Uniform Data Set. </t>
    </r>
    <r>
      <rPr>
        <i/>
        <sz val="11"/>
        <color theme="1"/>
        <rFont val="Calibri"/>
        <family val="2"/>
        <scheme val="minor"/>
      </rPr>
      <t>Alzheimer's &amp; Dementia: The Journal of the Alzheimer's Association</t>
    </r>
    <r>
      <rPr>
        <sz val="11"/>
        <color theme="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</si>
</sst>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2" borderId="1" xfId="0" applyFont="1" applyFill="1" applyBorder="1"/>
    <xf numFmtId="0" fontId="1" fillId="2" borderId="0" xfId="0" applyFont="1" applyFill="1" applyAlignment="1">
      <alignment horizontal="center"/>
    </xf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4" borderId="1" xfId="0" applyFont="1" applyFill="1" applyBorder="1"/>
    <xf numFmtId="0" fontId="1" fillId="4" borderId="0" xfId="0" applyFont="1" applyFill="1" applyAlignment="1">
      <alignment horizontal="center"/>
    </xf>
    <xf numFmtId="0" fontId="1" fillId="5" borderId="1" xfId="0" applyFont="1" applyFill="1" applyBorder="1"/>
    <xf numFmtId="0" fontId="1" fillId="5" borderId="0" xfId="0" applyFont="1" applyFill="1" applyAlignment="1">
      <alignment horizontal="center"/>
    </xf>
    <xf numFmtId="0" fontId="1" fillId="6" borderId="1" xfId="0" applyFont="1" applyFill="1" applyBorder="1"/>
    <xf numFmtId="9" fontId="1" fillId="6" borderId="0" xfId="0" applyNumberFormat="1" applyFont="1" applyFill="1" applyAlignment="1">
      <alignment horizontal="center"/>
    </xf>
    <xf numFmtId="0" fontId="1" fillId="7" borderId="1" xfId="0" applyFont="1" applyFill="1" applyBorder="1"/>
    <xf numFmtId="0" fontId="1" fillId="7" borderId="0" xfId="0" applyFont="1" applyFill="1" applyAlignment="1">
      <alignment horizontal="center"/>
    </xf>
    <xf numFmtId="0" fontId="1" fillId="8" borderId="1" xfId="0" applyFont="1" applyFill="1" applyBorder="1"/>
    <xf numFmtId="0" fontId="1" fillId="8" borderId="0" xfId="0" applyFont="1" applyFill="1" applyAlignment="1">
      <alignment horizontal="center"/>
    </xf>
    <xf numFmtId="0" fontId="1" fillId="9" borderId="1" xfId="0" applyFont="1" applyFill="1" applyBorder="1"/>
    <xf numFmtId="0" fontId="1" fillId="9" borderId="0" xfId="0" applyFont="1" applyFill="1" applyAlignment="1">
      <alignment horizontal="center"/>
    </xf>
    <xf numFmtId="164" fontId="1" fillId="10" borderId="2" xfId="0" applyNumberFormat="1" applyFont="1" applyFill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0" fillId="11" borderId="4" xfId="0" applyFill="1" applyBorder="1"/>
    <xf numFmtId="0" fontId="0" fillId="11" borderId="6" xfId="0" applyFill="1" applyBorder="1"/>
    <xf numFmtId="0" fontId="0" fillId="11" borderId="0" xfId="0" applyFill="1"/>
    <xf numFmtId="0" fontId="0" fillId="11" borderId="3" xfId="0" applyFill="1" applyBorder="1"/>
    <xf numFmtId="0" fontId="0" fillId="11" borderId="9" xfId="0" applyFill="1" applyBorder="1"/>
    <xf numFmtId="0" fontId="0" fillId="11" borderId="10" xfId="0" applyFill="1" applyBorder="1"/>
    <xf numFmtId="164" fontId="1" fillId="10" borderId="8" xfId="0" applyNumberFormat="1" applyFont="1" applyFill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3" fillId="12" borderId="2" xfId="0" applyFont="1" applyFill="1" applyBorder="1"/>
    <xf numFmtId="0" fontId="3" fillId="13" borderId="2" xfId="0" applyFont="1" applyFill="1" applyBorder="1"/>
    <xf numFmtId="0" fontId="1" fillId="11" borderId="0" xfId="0" applyFont="1" applyFill="1"/>
    <xf numFmtId="0" fontId="1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12" borderId="14" xfId="0" applyFont="1" applyFill="1" applyBorder="1" applyAlignment="1">
      <alignment horizontal="center"/>
    </xf>
    <xf numFmtId="0" fontId="3" fillId="12" borderId="15" xfId="0" applyFont="1" applyFill="1" applyBorder="1" applyAlignment="1">
      <alignment horizontal="center"/>
    </xf>
    <xf numFmtId="0" fontId="3" fillId="12" borderId="13" xfId="0" applyFont="1" applyFill="1" applyBorder="1" applyAlignment="1">
      <alignment horizontal="center"/>
    </xf>
    <xf numFmtId="0" fontId="3" fillId="13" borderId="15" xfId="0" applyFont="1" applyFill="1" applyBorder="1" applyAlignment="1">
      <alignment horizontal="center"/>
    </xf>
    <xf numFmtId="164" fontId="3" fillId="13" borderId="15" xfId="0" applyNumberFormat="1" applyFont="1" applyFill="1" applyBorder="1" applyAlignment="1">
      <alignment horizontal="center"/>
    </xf>
    <xf numFmtId="164" fontId="3" fillId="13" borderId="8" xfId="0" applyNumberFormat="1" applyFont="1" applyFill="1" applyBorder="1" applyAlignment="1">
      <alignment horizontal="center"/>
    </xf>
    <xf numFmtId="0" fontId="1" fillId="14" borderId="2" xfId="0" applyFont="1" applyFill="1" applyBorder="1"/>
    <xf numFmtId="0" fontId="4" fillId="14" borderId="2" xfId="0" applyFont="1" applyFill="1" applyBorder="1"/>
    <xf numFmtId="0" fontId="1" fillId="15" borderId="10" xfId="0" applyFont="1" applyFill="1" applyBorder="1"/>
    <xf numFmtId="0" fontId="1" fillId="15" borderId="7" xfId="0" applyFont="1" applyFill="1" applyBorder="1"/>
    <xf numFmtId="0" fontId="1" fillId="16" borderId="6" xfId="0" applyFont="1" applyFill="1" applyBorder="1"/>
    <xf numFmtId="0" fontId="1" fillId="16" borderId="10" xfId="0" applyFont="1" applyFill="1" applyBorder="1"/>
    <xf numFmtId="0" fontId="1" fillId="16" borderId="11" xfId="0" applyFont="1" applyFill="1" applyBorder="1"/>
    <xf numFmtId="0" fontId="2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1" fillId="0" borderId="14" xfId="0" applyFont="1" applyBorder="1"/>
    <xf numFmtId="0" fontId="1" fillId="0" borderId="15" xfId="0" applyFont="1" applyBorder="1"/>
    <xf numFmtId="0" fontId="1" fillId="0" borderId="8" xfId="0" applyFont="1" applyBorder="1"/>
    <xf numFmtId="0" fontId="1" fillId="0" borderId="4" xfId="0" applyFont="1" applyBorder="1"/>
    <xf numFmtId="0" fontId="1" fillId="0" borderId="5" xfId="0" applyFont="1" applyBorder="1"/>
    <xf numFmtId="0" fontId="0" fillId="0" borderId="6" xfId="0" applyBorder="1"/>
    <xf numFmtId="0" fontId="0" fillId="0" borderId="9" xfId="0" applyBorder="1"/>
    <xf numFmtId="0" fontId="0" fillId="0" borderId="10" xfId="0" applyBorder="1"/>
    <xf numFmtId="0" fontId="0" fillId="0" borderId="5" xfId="0" applyBorder="1"/>
    <xf numFmtId="0" fontId="0" fillId="0" borderId="7" xfId="0" applyBorder="1"/>
    <xf numFmtId="0" fontId="0" fillId="0" borderId="14" xfId="0" applyBorder="1"/>
    <xf numFmtId="0" fontId="0" fillId="0" borderId="3" xfId="0" applyBorder="1"/>
    <xf numFmtId="0" fontId="0" fillId="0" borderId="1" xfId="0" applyBorder="1"/>
    <xf numFmtId="0" fontId="1" fillId="0" borderId="3" xfId="0" applyFont="1" applyBorder="1"/>
    <xf numFmtId="0" fontId="1" fillId="0" borderId="6" xfId="0" applyFont="1" applyBorder="1"/>
    <xf numFmtId="0" fontId="1" fillId="0" borderId="1" xfId="0" applyFont="1" applyBorder="1"/>
    <xf numFmtId="0" fontId="1" fillId="0" borderId="7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8" fillId="0" borderId="0" xfId="1" applyFont="1" applyAlignment="1">
      <alignment horizontal="left" wrapText="1"/>
    </xf>
    <xf numFmtId="0" fontId="1" fillId="11" borderId="5" xfId="0" applyFont="1" applyFill="1" applyBorder="1" applyAlignment="1">
      <alignment horizontal="center"/>
    </xf>
    <xf numFmtId="0" fontId="1" fillId="11" borderId="7" xfId="0" applyFont="1" applyFill="1" applyBorder="1" applyAlignment="1">
      <alignment horizontal="center"/>
    </xf>
    <xf numFmtId="0" fontId="0" fillId="0" borderId="0" xfId="0"/>
    <xf numFmtId="0" fontId="1" fillId="11" borderId="1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8" fillId="0" borderId="0" xfId="1" applyFont="1" applyAlignment="1">
      <alignment horizontal="left" wrapText="1"/>
    </xf>
  </cellXfs>
  <cellStyles count="2">
    <cellStyle name="Explanatory Text" xfId="1" builtinId="53"/>
    <cellStyle name="Normal" xfId="0" builtinId="0"/>
  </cellStyles>
  <dxfs count="54"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AF5DA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AF5DA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rgb="FFFFC000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FAF5DA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AF5DA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AF5DA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AF5DA"/>
      <color rgb="FFF8EECE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00694-16C1-4445-BF31-561A03621AB9}">
  <dimension ref="A1:D30"/>
  <sheetViews>
    <sheetView workbookViewId="0">
      <selection activeCell="A9" sqref="A9"/>
    </sheetView>
  </sheetViews>
  <sheetFormatPr baseColWidth="10" defaultColWidth="8.83203125" defaultRowHeight="15" x14ac:dyDescent="0.2"/>
  <cols>
    <col min="1" max="1" width="82.6640625" customWidth="1"/>
  </cols>
  <sheetData>
    <row r="1" spans="1:4" ht="14.5" customHeight="1" x14ac:dyDescent="0.2">
      <c r="A1" s="81" t="s">
        <v>95</v>
      </c>
      <c r="B1" s="81"/>
      <c r="C1" s="74"/>
      <c r="D1" s="74"/>
    </row>
    <row r="2" spans="1:4" x14ac:dyDescent="0.2">
      <c r="A2" s="81"/>
      <c r="B2" s="81"/>
      <c r="C2" s="74"/>
      <c r="D2" s="74"/>
    </row>
    <row r="3" spans="1:4" x14ac:dyDescent="0.2">
      <c r="A3" s="75"/>
      <c r="B3" s="75"/>
      <c r="C3" s="74"/>
      <c r="D3" s="74"/>
    </row>
    <row r="5" spans="1:4" ht="14.5" customHeight="1" x14ac:dyDescent="0.2">
      <c r="A5" s="80" t="s">
        <v>96</v>
      </c>
      <c r="B5" s="80"/>
      <c r="C5" s="73"/>
      <c r="D5" s="73"/>
    </row>
    <row r="6" spans="1:4" x14ac:dyDescent="0.2">
      <c r="A6" t="s">
        <v>98</v>
      </c>
    </row>
    <row r="7" spans="1:4" x14ac:dyDescent="0.2">
      <c r="A7" t="s">
        <v>97</v>
      </c>
    </row>
    <row r="8" spans="1:4" x14ac:dyDescent="0.2">
      <c r="A8" t="s">
        <v>99</v>
      </c>
    </row>
    <row r="9" spans="1:4" ht="16" x14ac:dyDescent="0.2">
      <c r="A9" s="73" t="s">
        <v>101</v>
      </c>
    </row>
    <row r="10" spans="1:4" ht="48" x14ac:dyDescent="0.2">
      <c r="A10" s="73" t="s">
        <v>100</v>
      </c>
    </row>
    <row r="11" spans="1:4" ht="16" x14ac:dyDescent="0.2">
      <c r="A11" s="73" t="s">
        <v>102</v>
      </c>
    </row>
    <row r="12" spans="1:4" ht="16" x14ac:dyDescent="0.2">
      <c r="A12" s="73" t="s">
        <v>112</v>
      </c>
    </row>
    <row r="13" spans="1:4" ht="16" x14ac:dyDescent="0.2">
      <c r="A13" s="73" t="s">
        <v>103</v>
      </c>
    </row>
    <row r="14" spans="1:4" ht="16" x14ac:dyDescent="0.2">
      <c r="A14" s="73" t="s">
        <v>104</v>
      </c>
    </row>
    <row r="15" spans="1:4" ht="16" x14ac:dyDescent="0.2">
      <c r="A15" s="73" t="s">
        <v>105</v>
      </c>
    </row>
    <row r="16" spans="1:4" ht="16" x14ac:dyDescent="0.2">
      <c r="A16" s="73" t="s">
        <v>106</v>
      </c>
    </row>
    <row r="17" spans="1:1" ht="16" x14ac:dyDescent="0.2">
      <c r="A17" s="73" t="s">
        <v>107</v>
      </c>
    </row>
    <row r="18" spans="1:1" ht="14.5" customHeight="1" x14ac:dyDescent="0.2">
      <c r="A18" s="73" t="s">
        <v>113</v>
      </c>
    </row>
    <row r="19" spans="1:1" ht="16" x14ac:dyDescent="0.2">
      <c r="A19" s="73" t="s">
        <v>108</v>
      </c>
    </row>
    <row r="20" spans="1:1" ht="16" x14ac:dyDescent="0.2">
      <c r="A20" s="73" t="s">
        <v>109</v>
      </c>
    </row>
    <row r="21" spans="1:1" ht="16" customHeight="1" x14ac:dyDescent="0.2">
      <c r="A21" s="73" t="s">
        <v>110</v>
      </c>
    </row>
    <row r="22" spans="1:1" ht="16" x14ac:dyDescent="0.2">
      <c r="A22" s="73" t="s">
        <v>111</v>
      </c>
    </row>
    <row r="24" spans="1:1" ht="48" x14ac:dyDescent="0.2">
      <c r="A24" s="73" t="s">
        <v>115</v>
      </c>
    </row>
    <row r="25" spans="1:1" ht="29" customHeight="1" x14ac:dyDescent="0.2">
      <c r="A25" s="73" t="s">
        <v>116</v>
      </c>
    </row>
    <row r="26" spans="1:1" ht="29" customHeight="1" x14ac:dyDescent="0.2">
      <c r="A26" s="73" t="s">
        <v>117</v>
      </c>
    </row>
    <row r="27" spans="1:1" ht="48" x14ac:dyDescent="0.2">
      <c r="A27" s="73" t="s">
        <v>114</v>
      </c>
    </row>
    <row r="28" spans="1:1" ht="29" customHeight="1" x14ac:dyDescent="0.2">
      <c r="A28" s="73" t="s">
        <v>118</v>
      </c>
    </row>
    <row r="30" spans="1:1" ht="64" x14ac:dyDescent="0.2">
      <c r="A30" s="73" t="s">
        <v>119</v>
      </c>
    </row>
  </sheetData>
  <sheetProtection algorithmName="SHA-512" hashValue="efBApfBJmU+itrUEHbqWB2YanmJqgVrFUX8ibwZ4NWo58SCaHDFl9KjSjvdLIltZEOMZ+dqjjReKAYBS8ss2tg==" saltValue="lYA3Lw81ZLIFONylICJfig==" spinCount="100000" sheet="1" objects="1" scenarios="1"/>
  <mergeCells count="2">
    <mergeCell ref="A5:B5"/>
    <mergeCell ref="A1:B2"/>
  </mergeCells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5BE94-6A70-46C1-BF23-539E5DD5A499}">
  <dimension ref="A1:M52"/>
  <sheetViews>
    <sheetView tabSelected="1" workbookViewId="0">
      <selection activeCell="B5" sqref="B5"/>
    </sheetView>
  </sheetViews>
  <sheetFormatPr baseColWidth="10" defaultColWidth="8.83203125" defaultRowHeight="15" x14ac:dyDescent="0.2"/>
  <cols>
    <col min="1" max="1" width="40.5" customWidth="1"/>
    <col min="2" max="2" width="16" customWidth="1"/>
    <col min="3" max="3" width="25" bestFit="1" customWidth="1"/>
    <col min="4" max="4" width="16.83203125" customWidth="1"/>
    <col min="5" max="5" width="16.5" customWidth="1"/>
    <col min="6" max="6" width="17.1640625" customWidth="1"/>
    <col min="7" max="7" width="16.6640625" customWidth="1"/>
    <col min="8" max="8" width="16.5" customWidth="1"/>
    <col min="9" max="9" width="16.83203125" customWidth="1"/>
    <col min="10" max="10" width="16.5" customWidth="1"/>
    <col min="11" max="11" width="16.83203125" customWidth="1"/>
    <col min="12" max="12" width="16.33203125" customWidth="1"/>
    <col min="13" max="13" width="16.1640625" customWidth="1"/>
  </cols>
  <sheetData>
    <row r="1" spans="1:13" ht="16" thickBot="1" x14ac:dyDescent="0.25">
      <c r="B1" s="50" t="s">
        <v>6</v>
      </c>
      <c r="C1" s="50" t="s">
        <v>7</v>
      </c>
    </row>
    <row r="2" spans="1:13" x14ac:dyDescent="0.2">
      <c r="A2" s="47" t="s">
        <v>8</v>
      </c>
      <c r="B2" s="37"/>
      <c r="C2" s="36" t="str">
        <f>IF((B2)&lt;(0), "outside allowable range",IF((B2)&gt;(1), "outside allowable range","within allowable range"))</f>
        <v>within allowable range</v>
      </c>
      <c r="D2" s="22"/>
      <c r="E2" s="25"/>
      <c r="F2" s="22"/>
      <c r="G2" s="23"/>
      <c r="H2" s="22"/>
      <c r="I2" s="23"/>
      <c r="J2" s="22"/>
      <c r="K2" s="23"/>
      <c r="L2" s="22"/>
      <c r="M2" s="23"/>
    </row>
    <row r="3" spans="1:13" x14ac:dyDescent="0.2">
      <c r="A3" s="48" t="s">
        <v>9</v>
      </c>
      <c r="B3" s="38"/>
      <c r="C3" s="2" t="str">
        <f>IF((B3)&lt;(50), "outside allowable range",IF((B3)&gt;(95), "outside allowable range", "within allowable range"))</f>
        <v>outside allowable range</v>
      </c>
      <c r="D3" s="26"/>
      <c r="E3" s="24"/>
      <c r="F3" s="26"/>
      <c r="G3" s="27"/>
      <c r="H3" s="26"/>
      <c r="I3" s="27"/>
      <c r="J3" s="26"/>
      <c r="K3" s="27"/>
      <c r="L3" s="26"/>
      <c r="M3" s="27"/>
    </row>
    <row r="4" spans="1:13" ht="16" thickBot="1" x14ac:dyDescent="0.25">
      <c r="A4" s="48" t="s">
        <v>10</v>
      </c>
      <c r="B4" s="38"/>
      <c r="C4" s="2" t="str">
        <f>IF((B4)&lt;(0), "outside allowable range", IF((B4)&gt;(20), "outside allowable range", "within allowable range"))</f>
        <v>within allowable range</v>
      </c>
      <c r="D4" s="76" t="s">
        <v>11</v>
      </c>
      <c r="E4" s="79"/>
      <c r="F4" s="76" t="s">
        <v>14</v>
      </c>
      <c r="G4" s="77"/>
      <c r="H4" s="76" t="s">
        <v>15</v>
      </c>
      <c r="I4" s="77"/>
      <c r="J4" s="76" t="s">
        <v>16</v>
      </c>
      <c r="K4" s="77"/>
      <c r="L4" s="76" t="s">
        <v>17</v>
      </c>
      <c r="M4" s="77"/>
    </row>
    <row r="5" spans="1:13" ht="16" thickBot="1" x14ac:dyDescent="0.25">
      <c r="A5" s="49" t="s">
        <v>28</v>
      </c>
      <c r="B5" s="39"/>
      <c r="C5" s="30" t="str">
        <f>IF((B5)&lt;(0), "outside allowable range",IF((B5)&gt;(1), "outside allowable range","within allowable range"))</f>
        <v>within allowable range</v>
      </c>
      <c r="D5" s="31" t="s">
        <v>12</v>
      </c>
      <c r="E5" s="31" t="s">
        <v>13</v>
      </c>
      <c r="F5" s="31" t="s">
        <v>12</v>
      </c>
      <c r="G5" s="31" t="s">
        <v>13</v>
      </c>
      <c r="H5" s="31" t="s">
        <v>12</v>
      </c>
      <c r="I5" s="31" t="s">
        <v>13</v>
      </c>
      <c r="J5" s="31" t="s">
        <v>12</v>
      </c>
      <c r="K5" s="31" t="s">
        <v>13</v>
      </c>
      <c r="L5" s="31" t="s">
        <v>12</v>
      </c>
      <c r="M5" s="31" t="s">
        <v>13</v>
      </c>
    </row>
    <row r="6" spans="1:13" ht="17" thickTop="1" thickBot="1" x14ac:dyDescent="0.25">
      <c r="A6" s="45" t="s">
        <v>19</v>
      </c>
      <c r="B6" s="38"/>
      <c r="C6" s="2" t="str">
        <f>IF((B6)&lt;(0), "outside allowable range", IF((B6)&gt;(30), "outside allowable range", "within allowable range"))</f>
        <v>within allowable range</v>
      </c>
      <c r="D6" s="28">
        <f>IF(($B$5)=(0), (B6-(Regression!B3 + (Regression!C3*($B$3)) + (Regression!D3*$B$4) + (Regression!E3*$B$2)))/(Regression!F3), (B6-(Regression!G3 + (Regression!H3*($B$3)) + (Regression!I3*$B$4) + (Regression!J3*$B$2)))/(Regression!K3))</f>
        <v>-8.4362766247710397</v>
      </c>
      <c r="E6" s="29">
        <f>NORMSDIST(D6)*100</f>
        <v>1.6380344770489042E-15</v>
      </c>
      <c r="F6" s="28">
        <f>IF(($B$5)=(0), (B6-(Sex!B3 + (Sex!C3*$B$2)))/(Sex!D3), (B6-(Sex!E3 + (Sex!F3*$B$2)))/(Sex!G3))</f>
        <v>-7.6840693859715952</v>
      </c>
      <c r="G6" s="29">
        <f>NORMSDIST(F6)*100</f>
        <v>7.7056563061660737E-13</v>
      </c>
      <c r="H6" s="28">
        <f>IF(($B$5)=(0),(B6-(Age!B3+(Age!C3*($B$3))))/(Age!D3),(B6-(Age!E3+(Age!F3*($B$3))))/(Age!G3))</f>
        <v>-10.733351713649647</v>
      </c>
      <c r="I6" s="29">
        <f>NORMSDIST(H6)*100</f>
        <v>3.5487100395601674E-25</v>
      </c>
      <c r="J6" s="28">
        <f>IF(($B$5)=(0),(B6-(Education!B3+(Education!C3*($B$4))))/(Education!D3),(B6-(Education!E3+(Education!F3*($B$4))))/(Education!G3))</f>
        <v>-5.9787856211461881</v>
      </c>
      <c r="K6" s="29">
        <f>NORMSDIST(J6)*100</f>
        <v>1.1240358591037645E-7</v>
      </c>
      <c r="L6" s="28">
        <f>IF(($B$5)=(0),(B6-(Intercept!B3))/(Intercept!C3),(B6-(Intercept!D3))/(Intercept!E3))</f>
        <v>-7.7787500854971077</v>
      </c>
      <c r="M6" s="29">
        <f>NORMSDIST(L6)*100</f>
        <v>3.6622295925634211E-13</v>
      </c>
    </row>
    <row r="7" spans="1:13" ht="16" thickBot="1" x14ac:dyDescent="0.25">
      <c r="A7" s="45" t="s">
        <v>76</v>
      </c>
      <c r="B7" s="38"/>
      <c r="C7" s="2" t="str">
        <f>IF((B7)&lt;(0), "outside allowable range", IF((B7)&gt;(9), "outside allowable range", "within allowable range"))</f>
        <v>within allowable range</v>
      </c>
      <c r="D7" s="20">
        <f>IF(($B$5)=(0), (B7-(Regression!B4 + (Regression!C4*($B$3)) + (Regression!D4*$B$4) + (Regression!E4*$B$2)))/(Regression!F4), (B7-(Regression!G4 + (Regression!H4*($B$3)) + (Regression!I4*$B$4) + (Regression!J4*$B$2)))/(Regression!K4))</f>
        <v>-1.6282329979008081</v>
      </c>
      <c r="E7" s="21">
        <f t="shared" ref="E7:E33" si="0">NORMSDIST(D7)*100</f>
        <v>5.1737745206746375</v>
      </c>
      <c r="F7" s="20">
        <f>IF(($B$5)=(0), (B7-(Sex!B4 + (Sex!C4*$B$2)))/(Sex!D4), (B7-(Sex!E4 + (Sex!F4*$B$2)))/(Sex!G4))</f>
        <v>-2.9911108311230925</v>
      </c>
      <c r="G7" s="21">
        <f t="shared" ref="G7:G33" si="1">NORMSDIST(F7)*100</f>
        <v>0.13898229411779123</v>
      </c>
      <c r="H7" s="20">
        <f>IF(($B$5)=(0),(B7-(Age!B4+(Age!C4*($B$3))))/(Age!D4),(B7-(Age!E4+(Age!F4*($B$3))))/(Age!G4))</f>
        <v>-3.6547036005492393</v>
      </c>
      <c r="I7" s="21">
        <f t="shared" ref="I7:I33" si="2">NORMSDIST(H7)*100</f>
        <v>1.2873963293783174E-2</v>
      </c>
      <c r="J7" s="20">
        <f>IF(($B$5)=(0),(B7-(Education!B4+(Education!C4*($B$4))))/(Education!D4),(B7-(Education!E4+(Education!F4*($B$4))))/(Education!G4))</f>
        <v>-1.3218479258523728</v>
      </c>
      <c r="K7" s="21">
        <f t="shared" ref="K7:K33" si="3">NORMSDIST(J7)*100</f>
        <v>9.3109397828502694</v>
      </c>
      <c r="L7" s="20">
        <f>IF(($B$5)=(0),(B7-(Intercept!B4))/(Intercept!C4),(B7-(Intercept!D4))/(Intercept!E4))</f>
        <v>-2.9549551453033769</v>
      </c>
      <c r="M7" s="21">
        <f t="shared" ref="M7:M33" si="4">NORMSDIST(L7)*100</f>
        <v>0.15635725610346854</v>
      </c>
    </row>
    <row r="8" spans="1:13" ht="16" thickBot="1" x14ac:dyDescent="0.25">
      <c r="A8" s="45" t="s">
        <v>77</v>
      </c>
      <c r="B8" s="38"/>
      <c r="C8" s="2" t="str">
        <f>IF((B8)&lt;(0), "outside allowable range", IF((B8)&gt;(14), "outside allowable range", "within allowable range"))</f>
        <v>within allowable range</v>
      </c>
      <c r="D8" s="20">
        <f>IF(($B$5)=(0), (B8-(Regression!B5 + (Regression!C5*($B$3)) + (Regression!D5*$B$4) + (Regression!E5*$B$2)))/(Regression!F5), (B8-(Regression!G5 + (Regression!H5*($B$3)) + (Regression!I5*$B$4) + (Regression!J5*$B$2)))/(Regression!K5))</f>
        <v>-3.527290721212613</v>
      </c>
      <c r="E8" s="21">
        <f t="shared" si="0"/>
        <v>2.0991775408608877E-2</v>
      </c>
      <c r="F8" s="20">
        <f>IF(($B$5)=(0), (B8-(Sex!B5 + (Sex!C5*$B$2)))/(Sex!D5), (B8-(Sex!E5 + (Sex!F5*$B$2)))/(Sex!G5))</f>
        <v>-4.4988719804069879</v>
      </c>
      <c r="G8" s="21">
        <f t="shared" si="1"/>
        <v>3.4157489324237994E-4</v>
      </c>
      <c r="H8" s="20">
        <f>IF(($B$5)=(0),(B8-(Age!B5+(Age!C5*($B$3))))/(Age!D5),(B8-(Age!E5+(Age!F5*($B$3))))/(Age!G5))</f>
        <v>-5.3721053071567857</v>
      </c>
      <c r="I8" s="21">
        <f t="shared" si="2"/>
        <v>3.8911317814031766E-6</v>
      </c>
      <c r="J8" s="20">
        <f>IF(($B$5)=(0),(B8-(Education!B5+(Education!C5*($B$4))))/(Education!D5),(B8-(Education!E5+(Education!F5*($B$4))))/(Education!G5))</f>
        <v>-3.1005965692766977</v>
      </c>
      <c r="K8" s="21">
        <f t="shared" si="3"/>
        <v>9.6565613044052145E-2</v>
      </c>
      <c r="L8" s="20">
        <f>IF(($B$5)=(0),(B8-(Intercept!B5))/(Intercept!C5),(B8-(Intercept!D5))/(Intercept!E5))</f>
        <v>-4.5239562898954491</v>
      </c>
      <c r="M8" s="21">
        <f t="shared" si="4"/>
        <v>3.0347132125044756E-4</v>
      </c>
    </row>
    <row r="9" spans="1:13" ht="16" thickBot="1" x14ac:dyDescent="0.25">
      <c r="A9" s="45" t="s">
        <v>78</v>
      </c>
      <c r="B9" s="38"/>
      <c r="C9" s="2" t="str">
        <f t="shared" ref="C9" si="5">IF((B9)&lt;(0), "outside allowable range", IF((B9)&gt;(14), "outside allowable range", "within allowable range"))</f>
        <v>within allowable range</v>
      </c>
      <c r="D9" s="20">
        <f>IF(($B$5)=(0), (B9-(Regression!B6 + (Regression!C6*($B$3)) + (Regression!D6*$B$4) + (Regression!E6*$B$2)))/(Regression!F6), (B9-(Regression!G6 + (Regression!H6*($B$3)) + (Regression!I6*$B$4) + (Regression!J6*$B$2)))/(Regression!K6))</f>
        <v>-2.880057698256334</v>
      </c>
      <c r="E9" s="21">
        <f t="shared" si="0"/>
        <v>0.19880119980103494</v>
      </c>
      <c r="F9" s="20">
        <f>IF(($B$5)=(0), (B9-(Sex!B6 + (Sex!C6*$B$2)))/(Sex!D6), (B9-(Sex!E6 + (Sex!F6*$B$2)))/(Sex!G6))</f>
        <v>-2.8660838858543367</v>
      </c>
      <c r="G9" s="21">
        <f t="shared" si="1"/>
        <v>0.20779205365872522</v>
      </c>
      <c r="H9" s="20">
        <f>IF(($B$5)=(0),(B9-(Age!B6+(Age!C6*($B$3))))/(Age!D6),(B9-(Age!E6+(Age!F6*($B$3))))/(Age!G6))</f>
        <v>-4.605993219674211</v>
      </c>
      <c r="I9" s="21">
        <f t="shared" si="2"/>
        <v>2.0525088247110452E-4</v>
      </c>
      <c r="J9" s="20">
        <f>IF(($B$5)=(0),(B9-(Education!B6+(Education!C6*($B$4))))/(Education!D6),(B9-(Education!E6+(Education!F6*($B$4))))/(Education!G6))</f>
        <v>-1.604657956913111</v>
      </c>
      <c r="K9" s="21">
        <f t="shared" si="3"/>
        <v>5.428454959544271</v>
      </c>
      <c r="L9" s="20">
        <f>IF(($B$5)=(0),(B9-(Intercept!B6))/(Intercept!C6),(B9-(Intercept!D6))/(Intercept!E6))</f>
        <v>-2.9568077824125227</v>
      </c>
      <c r="M9" s="21">
        <f t="shared" si="4"/>
        <v>0.15542091436731789</v>
      </c>
    </row>
    <row r="10" spans="1:13" ht="16" thickBot="1" x14ac:dyDescent="0.25">
      <c r="A10" s="45" t="s">
        <v>79</v>
      </c>
      <c r="B10" s="38"/>
      <c r="C10" s="2" t="str">
        <f>IF((B10)&lt;(0), "outside allowable range", IF((B10)&gt;(8), "outside allowable range", "within allowable range"))</f>
        <v>within allowable range</v>
      </c>
      <c r="D10" s="20">
        <f>IF(($B$5)=(0), (B10-(Regression!B7 + (Regression!C7*($B$3)) + (Regression!D7*$B$4) + (Regression!E7*$B$2)))/(Regression!F7), (B10-(Regression!G7 + (Regression!H7*($B$3)) + (Regression!I7*$B$4) + (Regression!J7*$B$2)))/(Regression!K7))</f>
        <v>-4.5886964098815302</v>
      </c>
      <c r="E10" s="21">
        <f t="shared" si="0"/>
        <v>2.2301126592587351E-4</v>
      </c>
      <c r="F10" s="20">
        <f>IF(($B$5)=(0), (B10-(Sex!B7 + (Sex!C7*$B$2)))/(Sex!D7), (B10-(Sex!E7 + (Sex!F7*$B$2)))/(Sex!G7))</f>
        <v>-3.6641282789892728</v>
      </c>
      <c r="G10" s="21">
        <f t="shared" si="1"/>
        <v>1.2409119279301419E-2</v>
      </c>
      <c r="H10" s="20">
        <f>IF(($B$5)=(0),(B10-(Age!B7+(Age!C7*($B$3))))/(Age!D7),(B10-(Age!E7+(Age!F7*($B$3))))/(Age!G7))</f>
        <v>-6.0414378058044349</v>
      </c>
      <c r="I10" s="21">
        <f t="shared" si="2"/>
        <v>7.6373443169301952E-8</v>
      </c>
      <c r="J10" s="20">
        <f>IF(($B$5)=(0),(B10-(Education!B7+(Education!C7*($B$4))))/(Education!D7),(B10-(Education!E7+(Education!F7*($B$4))))/(Education!G7))</f>
        <v>-2.3552082296183467</v>
      </c>
      <c r="K10" s="21">
        <f t="shared" si="3"/>
        <v>0.92561643455015774</v>
      </c>
      <c r="L10" s="20">
        <f>IF(($B$5)=(0),(B10-(Intercept!B7))/(Intercept!C7),(B10-(Intercept!D7))/(Intercept!E7))</f>
        <v>-3.6745857385587875</v>
      </c>
      <c r="M10" s="21">
        <f t="shared" si="4"/>
        <v>1.1911781787122129E-2</v>
      </c>
    </row>
    <row r="11" spans="1:13" ht="16" thickBot="1" x14ac:dyDescent="0.25">
      <c r="A11" s="45" t="s">
        <v>80</v>
      </c>
      <c r="B11" s="38"/>
      <c r="C11" s="2" t="str">
        <f>IF((B11)&lt;(0), "outside allowable range", IF((B11)&gt;(150), "outside allowable range", "within allowable range"))</f>
        <v>within allowable range</v>
      </c>
      <c r="D11" s="20">
        <f>IF(($B$5)=(0), (-1)*(B11-(Regression!B8 + (Regression!C8*($B$3)) + (Regression!D8*$B$4) + (Regression!E8*$B$2)))/(Regression!F8), (-1)*(B11-(Regression!G8 + (Regression!H8*($B$3)) + (Regression!I8*$B$4) + (Regression!J8*$B$2)))/(Regression!K8))</f>
        <v>0.48756468386112206</v>
      </c>
      <c r="E11" s="21">
        <f t="shared" si="0"/>
        <v>68.707089215192156</v>
      </c>
      <c r="F11" s="20">
        <f>IF(($B$5)=(0), (-1)*(B11-(Sex!B8 + (Sex!C8*$B$2)))/(Sex!D8), (-1)*(B11-(Sex!E8 + (Sex!F8*$B$2)))/(Sex!G8))</f>
        <v>2.7636424778784283</v>
      </c>
      <c r="G11" s="21">
        <f t="shared" si="1"/>
        <v>99.71419934360938</v>
      </c>
      <c r="H11" s="20">
        <f>IF(($B$5)=(0),(-1)*(B11-(Age!B8+(Age!C8*($B$3))))/(Age!D8),(-1)*(B11-(Age!E8+(Age!F8*($B$3))))/(Age!G8))</f>
        <v>-0.44654024786350682</v>
      </c>
      <c r="I11" s="21">
        <f t="shared" si="2"/>
        <v>32.760352320924902</v>
      </c>
      <c r="J11" s="20">
        <f>IF(($B$5)=(0),(-1)*(B11-(Education!B8+(Education!C8*($B$4))))/(Education!D8),(-1)*(B11-(Education!E8+(Education!F8*($B$4))))/(Education!G8))</f>
        <v>3.5354053651236752</v>
      </c>
      <c r="K11" s="21">
        <f t="shared" si="3"/>
        <v>99.979642497439002</v>
      </c>
      <c r="L11" s="20">
        <f>IF(($B$5)=(0),(-1)*(B11-(Intercept!B8))/(Intercept!C8),(-1)*(B11-(Intercept!D8))/(Intercept!E8))</f>
        <v>2.6121420632184096</v>
      </c>
      <c r="M11" s="21">
        <f t="shared" si="4"/>
        <v>99.550115717669527</v>
      </c>
    </row>
    <row r="12" spans="1:13" ht="16" thickBot="1" x14ac:dyDescent="0.25">
      <c r="A12" s="45" t="s">
        <v>81</v>
      </c>
      <c r="B12" s="41" t="e">
        <f>B38</f>
        <v>#DIV/0!</v>
      </c>
      <c r="C12" s="2" t="s">
        <v>34</v>
      </c>
      <c r="D12" s="20" t="e">
        <f>IF(($B$5)=(0), (B12-(Regression!B9 + (Regression!C9*($B$3)) + (Regression!D9*$B$4) + (Regression!E9*$B$2)))/(Regression!F9), (B12-(Regression!G9 + (Regression!H9*($B$3)) + (Regression!I9*$B$4) + (Regression!J9*$B$2)))/(Regression!K9))</f>
        <v>#DIV/0!</v>
      </c>
      <c r="E12" s="21" t="e">
        <f t="shared" si="0"/>
        <v>#DIV/0!</v>
      </c>
      <c r="F12" s="20" t="e">
        <f>IF(($B$5)=(0), (B12-(Sex!B9 + (Sex!C9*$B$2)))/(Sex!D9), (B12-(Sex!E9 + (Sex!F9*$B$2)))/(Sex!G9))</f>
        <v>#DIV/0!</v>
      </c>
      <c r="G12" s="21" t="e">
        <f t="shared" si="1"/>
        <v>#DIV/0!</v>
      </c>
      <c r="H12" s="20" t="e">
        <f>IF(($B$5)=(0),(B12-(Age!B9+(Age!C9*($B$3))))/(Age!D9),(B12-(Age!E9+(Age!F9*($B$3))))/(Age!G9))</f>
        <v>#DIV/0!</v>
      </c>
      <c r="I12" s="21" t="e">
        <f t="shared" si="2"/>
        <v>#DIV/0!</v>
      </c>
      <c r="J12" s="20" t="e">
        <f>IF(($B$5)=(0),(B12-(Education!B9+(Education!C9*($B$4))))/(Education!D9),(B12-(Education!E9+(Education!F9*($B$4))))/(Education!G9))</f>
        <v>#DIV/0!</v>
      </c>
      <c r="K12" s="21" t="e">
        <f t="shared" si="3"/>
        <v>#DIV/0!</v>
      </c>
      <c r="L12" s="20" t="e">
        <f>IF(($B$5)=(0),(B12-(Intercept!B9))/(Intercept!C9),(B12-(Intercept!D9))/(Intercept!E9))</f>
        <v>#DIV/0!</v>
      </c>
      <c r="M12" s="21" t="e">
        <f t="shared" si="4"/>
        <v>#DIV/0!</v>
      </c>
    </row>
    <row r="13" spans="1:13" ht="16" thickBot="1" x14ac:dyDescent="0.25">
      <c r="A13" s="45" t="s">
        <v>82</v>
      </c>
      <c r="B13" s="38"/>
      <c r="C13" s="2" t="str">
        <f>IF((B13)&lt;(0), "outside allowable range", IF((B13)&gt;(300), "outside allowable range", "within allowable range"))</f>
        <v>within allowable range</v>
      </c>
      <c r="D13" s="20">
        <f>IF(($B$5)=(0), (-1)*(B13-(Regression!B10 + (Regression!C10*($B$3)) + (Regression!D10*$B$4) + (Regression!E10*$B$2)))/(Regression!F10), (-1)*(B13-(Regression!G10 + (Regression!H10*($B$3)) + (Regression!I10*$B$4) + (Regression!J10*$B$2)))/(Regression!K10))</f>
        <v>2.2604480362647004</v>
      </c>
      <c r="E13" s="21">
        <f t="shared" si="0"/>
        <v>98.810327097531683</v>
      </c>
      <c r="F13" s="20">
        <f>IF(($B$5)=(0), (-1)*(B13-(Sex!B10 + (Sex!C10*$B$2)))/(Sex!D10), (-1)*(B13-(Sex!E10 + (Sex!F10*$B$2)))/(Sex!G10))</f>
        <v>1.974927036203024</v>
      </c>
      <c r="G13" s="21">
        <f t="shared" si="1"/>
        <v>97.586178562838469</v>
      </c>
      <c r="H13" s="20">
        <f>IF(($B$5)=(0),(-1)*(B13-(Age!B10+(Age!C10*($B$3))))/(Age!D10),(-1)*(B13-(Age!E10+(Age!F10*($B$3))))/(Age!G10))</f>
        <v>0.12289395543800422</v>
      </c>
      <c r="I13" s="21">
        <f t="shared" si="2"/>
        <v>54.890446389710675</v>
      </c>
      <c r="J13" s="20">
        <f>IF(($B$5)=(0),(-1)*(B13-(Education!B10+(Education!C10*($B$4))))/(Education!D10),(-1)*(B13-(Education!E10+(Education!F10*($B$4))))/(Education!G10))</f>
        <v>3.5297694519673137</v>
      </c>
      <c r="K13" s="21">
        <f t="shared" si="3"/>
        <v>99.979203903327686</v>
      </c>
      <c r="L13" s="20">
        <f>IF(($B$5)=(0),(-1)*(B13-(Intercept!B10))/(Intercept!C10),(-1)*(B13-(Intercept!D10))/(Intercept!E10))</f>
        <v>1.8358742420404917</v>
      </c>
      <c r="M13" s="21">
        <f t="shared" si="4"/>
        <v>96.681187098908978</v>
      </c>
    </row>
    <row r="14" spans="1:13" ht="16" thickBot="1" x14ac:dyDescent="0.25">
      <c r="A14" s="45" t="s">
        <v>83</v>
      </c>
      <c r="B14" s="41" t="e">
        <f>B41</f>
        <v>#DIV/0!</v>
      </c>
      <c r="C14" s="2" t="s">
        <v>34</v>
      </c>
      <c r="D14" s="20" t="e">
        <f>IF(($B$5)=(0), (B14-(Regression!B11 + (Regression!C11*($B$3)) + (Regression!D11*$B$4) + (Regression!E11*$B$2)))/(Regression!F11), (B14-(Regression!G11 + (Regression!H11*($B$3)) + (Regression!I11*$B$4) + (Regression!J11*$B$2)))/(Regression!K11))</f>
        <v>#DIV/0!</v>
      </c>
      <c r="E14" s="21" t="e">
        <f t="shared" si="0"/>
        <v>#DIV/0!</v>
      </c>
      <c r="F14" s="20" t="e">
        <f>IF(($B$5)=(0), (B14-(Sex!B11 + (Sex!C11*$B$2)))/(Sex!D11), (B14-(Sex!E11 + (Sex!F11*$B$2)))/(Sex!G11))</f>
        <v>#DIV/0!</v>
      </c>
      <c r="G14" s="21" t="e">
        <f t="shared" si="1"/>
        <v>#DIV/0!</v>
      </c>
      <c r="H14" s="20" t="e">
        <f>IF(($B$5)=(0),(B14-(Age!B11+(Age!C11*($B$3))))/(Age!D11),(B14-(Age!E11+(Age!F11*($B$3))))/(Age!G11))</f>
        <v>#DIV/0!</v>
      </c>
      <c r="I14" s="21" t="e">
        <f t="shared" si="2"/>
        <v>#DIV/0!</v>
      </c>
      <c r="J14" s="20" t="e">
        <f>IF(($B$5)=(0),(B14-(Education!B11+(Education!C11*($B$4))))/(Education!D11),(B14-(Education!E11+(Education!F11*($B$4))))/(Education!G11))</f>
        <v>#DIV/0!</v>
      </c>
      <c r="K14" s="21" t="e">
        <f t="shared" si="3"/>
        <v>#DIV/0!</v>
      </c>
      <c r="L14" s="20" t="e">
        <f>IF(($B$5)=(0),(B14-(Intercept!B11))/(Intercept!C11),(B14-(Intercept!D11))/(Intercept!E11))</f>
        <v>#DIV/0!</v>
      </c>
      <c r="M14" s="21" t="e">
        <f t="shared" si="4"/>
        <v>#DIV/0!</v>
      </c>
    </row>
    <row r="15" spans="1:13" ht="16" thickBot="1" x14ac:dyDescent="0.25">
      <c r="A15" s="45" t="s">
        <v>18</v>
      </c>
      <c r="B15" s="38"/>
      <c r="C15" s="2" t="str">
        <f>IF((B15)&lt;(0), "outside allowable range", IF((B15)&gt;(32), "outside allowable range", "within allowable range"))</f>
        <v>within allowable range</v>
      </c>
      <c r="D15" s="20">
        <f>IF(($B$5)=(0), (B15-(Regression!B12 + (Regression!C12*($B$3)) + (Regression!D12*$B$4) + (Regression!E12*$B$2)))/(Regression!F12), (B15-(Regression!G12 + (Regression!H12*($B$3)) + (Regression!I12*$B$4) + (Regression!J12*$B$2)))/(Regression!K12))</f>
        <v>-8.7680046378543857</v>
      </c>
      <c r="E15" s="21">
        <f t="shared" si="0"/>
        <v>9.0930172560351913E-17</v>
      </c>
      <c r="F15" s="20">
        <f>IF(($B$5)=(0), (B15-(Sex!B12 + (Sex!C12*$B$2)))/(Sex!D12), (B15-(Sex!E12 + (Sex!F12*$B$2)))/(Sex!G12))</f>
        <v>-9.9738571054255072</v>
      </c>
      <c r="G15" s="21">
        <f t="shared" si="1"/>
        <v>9.9186019187120186E-22</v>
      </c>
      <c r="H15" s="20">
        <f>IF(($B$5)=(0),(B15-(Age!B12+(Age!C12*($B$3))))/(Age!D12),(B15-(Age!E12+(Age!F12*($B$3))))/(Age!G12))</f>
        <v>-9.8217400626288409</v>
      </c>
      <c r="I15" s="21">
        <f t="shared" si="2"/>
        <v>4.538156770481355E-21</v>
      </c>
      <c r="J15" s="20">
        <f>IF(($B$5)=(0),(B15-(Education!B12+(Education!C12*($B$4))))/(Education!D12),(B15-(Education!E12+(Education!F12*($B$4))))/(Education!G12))</f>
        <v>-8.5860437721150955</v>
      </c>
      <c r="K15" s="21">
        <f t="shared" si="3"/>
        <v>4.5007692207663755E-16</v>
      </c>
      <c r="L15" s="20">
        <f>IF(($B$5)=(0),(B15-(Intercept!B12))/(Intercept!C12),(B15-(Intercept!D12))/(Intercept!E12))</f>
        <v>-9.6816057137323597</v>
      </c>
      <c r="M15" s="21">
        <f t="shared" si="4"/>
        <v>1.8050047312283707E-20</v>
      </c>
    </row>
    <row r="16" spans="1:13" ht="16" thickBot="1" x14ac:dyDescent="0.25">
      <c r="A16" s="45" t="s">
        <v>20</v>
      </c>
      <c r="B16" s="38"/>
      <c r="C16" s="2" t="str">
        <f>IF((B16)&lt;(0), "outside allowable range", IF((B16)&gt;(40), "outside allowable range", "within allowable range"))</f>
        <v>within allowable range</v>
      </c>
      <c r="D16" s="20">
        <f>IF(($B$5)=(0), (B16-(Regression!B13 + (Regression!C13*($B$3)) + (Regression!D13*$B$4) + (Regression!E13*$B$2)))/(Regression!F13), (B16-(Regression!G13 + (Regression!H13*($B$3)) + (Regression!I13*$B$4) + (Regression!J13*$B$2)))/(Regression!K13))</f>
        <v>-1.4587538120918773</v>
      </c>
      <c r="E16" s="21">
        <f t="shared" si="0"/>
        <v>7.2316439631844602</v>
      </c>
      <c r="F16" s="20">
        <f>IF(($B$5)=(0), (B16-(Sex!B13 + (Sex!C13*$B$2)))/(Sex!D13), (B16-(Sex!E13 + (Sex!F13*$B$2)))/(Sex!G13))</f>
        <v>-2.9262214383236551</v>
      </c>
      <c r="G16" s="21">
        <f t="shared" si="1"/>
        <v>0.17155331082484584</v>
      </c>
      <c r="H16" s="20">
        <f>IF(($B$5)=(0),(B16-(Age!B13+(Age!C13*($B$3))))/(Age!D13),(B16-(Age!E13+(Age!F13*($B$3))))/(Age!G13))</f>
        <v>-3.7752669561915067</v>
      </c>
      <c r="I16" s="21">
        <f t="shared" si="2"/>
        <v>7.9918197531551258E-3</v>
      </c>
      <c r="J16" s="20">
        <f>IF(($B$5)=(0),(B16-(Education!B13+(Education!C13*($B$4))))/(Education!D13),(B16-(Education!E13+(Education!F13*($B$4))))/(Education!G13))</f>
        <v>-1.4311403025904375</v>
      </c>
      <c r="K16" s="21">
        <f t="shared" si="3"/>
        <v>7.6195004306184853</v>
      </c>
      <c r="L16" s="20">
        <f>IF(($B$5)=(0),(B16-(Intercept!B13))/(Intercept!C13),(B16-(Intercept!D13))/(Intercept!E13))</f>
        <v>-3.0525687025470241</v>
      </c>
      <c r="M16" s="21">
        <f t="shared" si="4"/>
        <v>0.11344589311878195</v>
      </c>
    </row>
    <row r="17" spans="1:13" ht="16" thickBot="1" x14ac:dyDescent="0.25">
      <c r="A17" s="45" t="s">
        <v>21</v>
      </c>
      <c r="B17" s="38"/>
      <c r="C17" s="2" t="str">
        <f>IF((B17)&lt;(0), "outside allowable range", IF((B17)&gt;(40), "outside allowable range", "within allowable range"))</f>
        <v>within allowable range</v>
      </c>
      <c r="D17" s="20">
        <f>IF(($B$5)=(0), (B17-(Regression!B14 + (Regression!C14*($B$3)) + (Regression!D14*$B$4) + (Regression!E14*$B$2)))/(Regression!F14), (B17-(Regression!G14 + (Regression!H14*($B$3)) + (Regression!I14*$B$4) + (Regression!J14*$B$2)))/(Regression!K14))</f>
        <v>-1.5398713650856188</v>
      </c>
      <c r="E17" s="21">
        <f t="shared" si="0"/>
        <v>6.1795855971271667</v>
      </c>
      <c r="F17" s="20">
        <f>IF(($B$5)=(0), (B17-(Sex!B14 + (Sex!C14*$B$2)))/(Sex!D14), (B17-(Sex!E14 + (Sex!F14*$B$2)))/(Sex!G14))</f>
        <v>-2.6476536784712335</v>
      </c>
      <c r="G17" s="21">
        <f t="shared" si="1"/>
        <v>0.40526255439397219</v>
      </c>
      <c r="H17" s="20">
        <f>IF(($B$5)=(0),(B17-(Age!B14+(Age!C14*($B$3))))/(Age!D14),(B17-(Age!E14+(Age!F14*($B$3))))/(Age!G14))</f>
        <v>-4.1269059835237609</v>
      </c>
      <c r="I17" s="21">
        <f t="shared" si="2"/>
        <v>1.8383831049202423E-3</v>
      </c>
      <c r="J17" s="20">
        <f>IF(($B$5)=(0),(B17-(Education!B14+(Education!C14*($B$4))))/(Education!D14),(B17-(Education!E14+(Education!F14*($B$4))))/(Education!G14))</f>
        <v>-1.0335773793721763</v>
      </c>
      <c r="K17" s="21">
        <f t="shared" si="3"/>
        <v>15.066688944699155</v>
      </c>
      <c r="L17" s="20">
        <f>IF(($B$5)=(0),(B17-(Intercept!B14))/(Intercept!C14),(B17-(Intercept!D14))/(Intercept!E14))</f>
        <v>-2.8397976299200924</v>
      </c>
      <c r="M17" s="21">
        <f t="shared" si="4"/>
        <v>0.22571080828864767</v>
      </c>
    </row>
    <row r="18" spans="1:13" ht="16" thickBot="1" x14ac:dyDescent="0.25">
      <c r="A18" s="45" t="s">
        <v>22</v>
      </c>
      <c r="B18" s="38"/>
      <c r="C18" s="2" t="str">
        <f>IF((B18)&lt;(0), "outside allowable range", IF((B18)&gt;(80), "outside allowable range", "within allowable range"))</f>
        <v>within allowable range</v>
      </c>
      <c r="D18" s="20">
        <f>IF(($B$5)=(0), (B18-(Regression!B15 + (Regression!C15*($B$3)) + (Regression!D15*$B$4) + (Regression!E15*$B$2)))/(Regression!F15), (B18-(Regression!G15 + (Regression!H15*($B$3)) + (Regression!I15*$B$4) + (Regression!J15*$B$2)))/(Regression!K15))</f>
        <v>-1.6844600592275341</v>
      </c>
      <c r="E18" s="21">
        <f t="shared" si="0"/>
        <v>4.6046396085916488</v>
      </c>
      <c r="F18" s="20">
        <f>IF(($B$5)=(0), (B18-(Sex!B15 + (Sex!C15*$B$2)))/(Sex!D15), (B18-(Sex!E15 + (Sex!F15*$B$2)))/(Sex!G15))</f>
        <v>-3.0113361320090668</v>
      </c>
      <c r="G18" s="21">
        <f t="shared" si="1"/>
        <v>0.13005037505794692</v>
      </c>
      <c r="H18" s="20">
        <f>IF(($B$5)=(0),(B18-(Age!B15+(Age!C15*($B$3))))/(Age!D15),(B18-(Age!E15+(Age!F15*($B$3))))/(Age!G15))</f>
        <v>-4.2667792034511143</v>
      </c>
      <c r="I18" s="21">
        <f t="shared" si="2"/>
        <v>9.9157629020519742E-4</v>
      </c>
      <c r="J18" s="20">
        <f>IF(($B$5)=(0),(B18-(Education!B15+(Education!C15*($B$4))))/(Education!D15),(B18-(Education!E15+(Education!F15*($B$4))))/(Education!G15))</f>
        <v>-1.382592443030765</v>
      </c>
      <c r="K18" s="21">
        <f t="shared" si="3"/>
        <v>8.3394933755392131</v>
      </c>
      <c r="L18" s="20">
        <f>IF(($B$5)=(0),(B18-(Intercept!B15))/(Intercept!C15),(B18-(Intercept!D15))/(Intercept!E15))</f>
        <v>-3.185660196409958</v>
      </c>
      <c r="M18" s="21">
        <f t="shared" si="4"/>
        <v>7.2212060242072301E-2</v>
      </c>
    </row>
    <row r="19" spans="1:13" ht="16" thickBot="1" x14ac:dyDescent="0.25">
      <c r="A19" s="45" t="s">
        <v>74</v>
      </c>
      <c r="B19" s="38"/>
      <c r="C19" s="2" t="str">
        <f>IF((B19)&lt;(0), "outside allowable range", IF((B19)&gt;(77), "outside allowable range", "within allowable range"))</f>
        <v>within allowable range</v>
      </c>
      <c r="D19" s="20">
        <f>IF(($B$5)=(0), (B19-(Regression!B16 + (Regression!C16*($B$3)) + (Regression!D16*$B$4) + (Regression!E16*$B$2)))/(Regression!F16), (B19-(Regression!G16 + (Regression!H16*($B$3)) + (Regression!I16*$B$4) + (Regression!J16*$B$2)))/(Regression!K16))</f>
        <v>-4.6188867866365468</v>
      </c>
      <c r="E19" s="21">
        <f t="shared" si="0"/>
        <v>1.9290213700754206E-4</v>
      </c>
      <c r="F19" s="20">
        <f>IF(($B$5)=(0), (B19-(Sex!B16 + (Sex!C16*$B$2)))/(Sex!D16), (B19-(Sex!E16 + (Sex!F16*$B$2)))/(Sex!G16))</f>
        <v>-4.2407540313349914</v>
      </c>
      <c r="G19" s="21">
        <f t="shared" si="1"/>
        <v>1.1138507645532378E-3</v>
      </c>
      <c r="H19" s="20">
        <f>IF(($B$5)=(0),(B19-(Age!B16+(Age!C16*($B$3))))/(Age!D16),(B19-(Age!E16+(Age!F16*($B$3))))/(Age!G16))</f>
        <v>-6.2505035420306019</v>
      </c>
      <c r="I19" s="21">
        <f t="shared" si="2"/>
        <v>2.0456572747461463E-8</v>
      </c>
      <c r="J19" s="20">
        <f>IF(($B$5)=(0),(B19-(Education!B16+(Education!C16*($B$4))))/(Education!D16),(B19-(Education!E16+(Education!F16*($B$4))))/(Education!G16))</f>
        <v>-2.6956028469221556</v>
      </c>
      <c r="K19" s="21">
        <f t="shared" si="3"/>
        <v>0.35130691885282994</v>
      </c>
      <c r="L19" s="20">
        <f>IF(($B$5)=(0),(B19-(Intercept!B16))/(Intercept!C16),(B19-(Intercept!D16))/(Intercept!E16))</f>
        <v>-4.1821739133961433</v>
      </c>
      <c r="M19" s="21">
        <f t="shared" si="4"/>
        <v>1.4436748296110173E-3</v>
      </c>
    </row>
    <row r="20" spans="1:13" ht="16" thickBot="1" x14ac:dyDescent="0.25">
      <c r="A20" s="45" t="s">
        <v>75</v>
      </c>
      <c r="B20" s="38"/>
      <c r="C20" s="2" t="str">
        <f>IF((B20)&lt;(0), "outside allowable range", IF((B20)&gt;(77), "outside allowable range", "within allowable range"))</f>
        <v>within allowable range</v>
      </c>
      <c r="D20" s="20">
        <f>IF(($B$5)=(0), (B20-(Regression!B17 + (Regression!C17*($B$3)) + (Regression!D17*$B$4) + (Regression!E17*$B$2)))/(Regression!F17), (B20-(Regression!G17 + (Regression!H17*($B$3)) + (Regression!I17*$B$4) + (Regression!J17*$B$2)))/(Regression!K17))</f>
        <v>-2.7832935719542231</v>
      </c>
      <c r="E20" s="21">
        <f t="shared" si="0"/>
        <v>0.2690504614180097</v>
      </c>
      <c r="F20" s="20">
        <f>IF(($B$5)=(0), (B20-(Sex!B17 + (Sex!C17*$B$2)))/(Sex!D17), (B20-(Sex!E17 + (Sex!F17*$B$2)))/(Sex!G17))</f>
        <v>-3.4126950324663583</v>
      </c>
      <c r="G20" s="21">
        <f t="shared" si="1"/>
        <v>3.216194063966131E-2</v>
      </c>
      <c r="H20" s="20">
        <f>IF(($B$5)=(0),(B20-(Age!B17+(Age!C17*($B$3))))/(Age!D17),(B20-(Age!E17+(Age!F17*($B$3))))/(Age!G17))</f>
        <v>-4.3317068414048272</v>
      </c>
      <c r="I20" s="21">
        <f t="shared" si="2"/>
        <v>7.3978929786119982E-4</v>
      </c>
      <c r="J20" s="20">
        <f>IF(($B$5)=(0),(B20-(Education!B17+(Education!C17*($B$4))))/(Education!D17),(B20-(Education!E17+(Education!F17*($B$4))))/(Education!G17))</f>
        <v>-3.0135050027201804</v>
      </c>
      <c r="K20" s="21">
        <f t="shared" si="3"/>
        <v>0.12912439166571757</v>
      </c>
      <c r="L20" s="20">
        <f>IF(($B$5)=(0),(B20-(Intercept!B17))/(Intercept!C17),(B20-(Intercept!D17))/(Intercept!E17))</f>
        <v>-3.7582960220377024</v>
      </c>
      <c r="M20" s="21">
        <f t="shared" si="4"/>
        <v>8.5537208930503827E-3</v>
      </c>
    </row>
    <row r="21" spans="1:13" ht="16" thickBot="1" x14ac:dyDescent="0.25">
      <c r="A21" s="45" t="s">
        <v>84</v>
      </c>
      <c r="B21" s="38"/>
      <c r="C21" s="2" t="str">
        <f>IF((B21)&lt;(0), "outside allowable range", IF((B21)&gt;(17), "outside allowable range", "within allowable range"))</f>
        <v>within allowable range</v>
      </c>
      <c r="D21" s="20">
        <f>IF(($B$5)=(0), (B21-(Regression!B18 + (Regression!C18*($B$3)) + (Regression!D18*$B$4) + (Regression!E18*$B$2)))/(Regression!F18), (B21-(Regression!G18 + (Regression!H18*($B$3)) + (Regression!I18*$B$4) + (Regression!J18*$B$2)))/(Regression!K18))</f>
        <v>-13.593611914435996</v>
      </c>
      <c r="E21" s="21">
        <f t="shared" si="0"/>
        <v>2.1848619322992434E-40</v>
      </c>
      <c r="F21" s="20">
        <f>IF(($B$5)=(0), (B21-(Sex!B18 + (Sex!C18*$B$2)))/(Sex!D18), (B21-(Sex!E18 + (Sex!F18*$B$2)))/(Sex!G18))</f>
        <v>-11.344060220104444</v>
      </c>
      <c r="G21" s="21">
        <f t="shared" si="1"/>
        <v>3.9687197596572797E-28</v>
      </c>
      <c r="H21" s="20">
        <f>IF(($B$5)=(0),(B21-(Age!B18+(Age!C18*($B$3))))/(Age!D18),(B21-(Age!E18+(Age!F18*($B$3))))/(Age!G18))</f>
        <v>-14.258634217239493</v>
      </c>
      <c r="I21" s="21">
        <f t="shared" si="2"/>
        <v>1.9806571330485425E-44</v>
      </c>
      <c r="J21" s="20">
        <f>IF(($B$5)=(0),(B21-(Education!B18+(Education!C18*($B$4))))/(Education!D18),(B21-(Education!E18+(Education!F18*($B$4))))/(Education!G18))</f>
        <v>-10.796293386771209</v>
      </c>
      <c r="K21" s="21">
        <f t="shared" si="3"/>
        <v>1.7919027604176956E-25</v>
      </c>
      <c r="L21" s="20">
        <f>IF(($B$5)=(0),(B21-(Intercept!B18))/(Intercept!C18),(B21-(Intercept!D18))/(Intercept!E18))</f>
        <v>-11.434961112692523</v>
      </c>
      <c r="M21" s="21">
        <f t="shared" si="4"/>
        <v>1.3983099002029055E-28</v>
      </c>
    </row>
    <row r="22" spans="1:13" ht="16" thickBot="1" x14ac:dyDescent="0.25">
      <c r="A22" s="45" t="s">
        <v>85</v>
      </c>
      <c r="B22" s="38"/>
      <c r="C22" s="2" t="str">
        <f>IF((B22)&lt;(0), "outside allowable range", IF((B22)&gt;(17), "outside allowable range", "within allowable range"))</f>
        <v>within allowable range</v>
      </c>
      <c r="D22" s="20">
        <f>IF(($B$5)=(0), (B22-(Regression!B19 + (Regression!C19*($B$3)) + (Regression!D19*$B$4) + (Regression!E19*$B$2)))/(Regression!F19), (B22-(Regression!G19 + (Regression!H19*($B$3)) + (Regression!I19*$B$4) + (Regression!J19*$B$2)))/(Regression!K19))</f>
        <v>-5.3712299600892344</v>
      </c>
      <c r="E22" s="21">
        <f t="shared" si="0"/>
        <v>3.9100703724445302E-6</v>
      </c>
      <c r="F22" s="20">
        <f>IF(($B$5)=(0), (B22-(Sex!B19 + (Sex!C19*$B$2)))/(Sex!D19), (B22-(Sex!E19 + (Sex!F19*$B$2)))/(Sex!G19))</f>
        <v>-3.7146830526368317</v>
      </c>
      <c r="G22" s="21">
        <f t="shared" si="1"/>
        <v>1.0172927232153602E-2</v>
      </c>
      <c r="H22" s="20">
        <f>IF(($B$5)=(0),(B22-(Age!B19+(Age!C19*($B$3))))/(Age!D19),(B22-(Age!E19+(Age!F19*($B$3))))/(Age!G19))</f>
        <v>-5.9398222441287718</v>
      </c>
      <c r="I22" s="21">
        <f t="shared" si="2"/>
        <v>1.4266564456692052E-7</v>
      </c>
      <c r="J22" s="20">
        <f>IF(($B$5)=(0),(B22-(Education!B19+(Education!C19*($B$4))))/(Education!D19),(B22-(Education!E19+(Education!F19*($B$4))))/(Education!G19))</f>
        <v>-2.7774610282202348</v>
      </c>
      <c r="K22" s="21">
        <f t="shared" si="3"/>
        <v>0.27392704773861765</v>
      </c>
      <c r="L22" s="20">
        <f>IF(($B$5)=(0),(B22-(Intercept!B19))/(Intercept!C19),(B22-(Intercept!D19))/(Intercept!E19))</f>
        <v>-3.6041474869116641</v>
      </c>
      <c r="M22" s="21">
        <f t="shared" si="4"/>
        <v>1.5658959446008987E-2</v>
      </c>
    </row>
    <row r="23" spans="1:13" ht="16" thickBot="1" x14ac:dyDescent="0.25">
      <c r="A23" s="45" t="s">
        <v>86</v>
      </c>
      <c r="B23" s="38"/>
      <c r="C23" s="2" t="str">
        <f>IF((B23)&lt;(0), "outside allowable range", IF((B23)&gt;(44), "outside allowable range", "within allowable range"))</f>
        <v>within allowable range</v>
      </c>
      <c r="D23" s="20">
        <f>IF(($B$5)=(0), (B23-(Regression!B20 + (Regression!C20*($B$3)) + (Regression!D20*$B$4) + (Regression!E20*$B$2)))/(Regression!F20), (B23-(Regression!G20 + (Regression!H20*($B$3)) + (Regression!I20*$B$4) + (Regression!J20*$B$2)))/(Regression!K20))</f>
        <v>-2.503115961377516</v>
      </c>
      <c r="E23" s="21">
        <f t="shared" si="0"/>
        <v>0.61552600875316865</v>
      </c>
      <c r="F23" s="20">
        <f>IF(($B$5)=(0), (B23-(Sex!B20 + (Sex!C20*$B$2)))/(Sex!D20), (B23-(Sex!E20 + (Sex!F20*$B$2)))/(Sex!G20))</f>
        <v>-2.8171202478804434</v>
      </c>
      <c r="G23" s="21">
        <f t="shared" si="1"/>
        <v>0.24228189974840653</v>
      </c>
      <c r="H23" s="20">
        <f>IF(($B$5)=(0),(B23-(Age!B20+(Age!C20*($B$3))))/(Age!D20),(B23-(Age!E20+(Age!F20*($B$3))))/(Age!G20))</f>
        <v>-4.6273723792117121</v>
      </c>
      <c r="I23" s="21">
        <f t="shared" si="2"/>
        <v>1.8516714679080401E-4</v>
      </c>
      <c r="J23" s="20">
        <f>IF(($B$5)=(0),(B23-(Education!B20+(Education!C20*($B$4))))/(Education!D20),(B23-(Education!E20+(Education!F20*($B$4))))/(Education!G20))</f>
        <v>-1.6483610378062381</v>
      </c>
      <c r="K23" s="21">
        <f t="shared" si="3"/>
        <v>4.963930313858179</v>
      </c>
      <c r="L23" s="20">
        <f>IF(($B$5)=(0),(B23-(Intercept!B20))/(Intercept!C20),(B23-(Intercept!D20))/(Intercept!E20))</f>
        <v>-3.0584151984785892</v>
      </c>
      <c r="M23" s="21">
        <f t="shared" si="4"/>
        <v>0.11125552309309722</v>
      </c>
    </row>
    <row r="24" spans="1:13" ht="16" thickBot="1" x14ac:dyDescent="0.25">
      <c r="A24" s="45" t="s">
        <v>87</v>
      </c>
      <c r="B24" s="38"/>
      <c r="C24" s="2" t="str">
        <f>IF((B24)&lt;(0), "outside allowable range", IF((B24)&gt;(25), "outside allowable range", "within allowable range"))</f>
        <v>within allowable range</v>
      </c>
      <c r="D24" s="20">
        <f>IF(($B$5)=(0), (B24-(Regression!B21 + (Regression!C21*($B$3)) + (Regression!D21*$B$4) + (Regression!E21*$B$2)))/(Regression!F21), (B24-(Regression!G21 + (Regression!H21*($B$3)) + (Regression!I21*$B$4) + (Regression!J21*$B$2)))/(Regression!K21))</f>
        <v>-3.2155183523922979</v>
      </c>
      <c r="E24" s="21">
        <f t="shared" si="0"/>
        <v>6.510458438736498E-2</v>
      </c>
      <c r="F24" s="20">
        <f>IF(($B$5)=(0), (B24-(Sex!B21 + (Sex!C21*$B$2)))/(Sex!D21), (B24-(Sex!E21 + (Sex!F21*$B$2)))/(Sex!G21))</f>
        <v>-3.5877841650806044</v>
      </c>
      <c r="G24" s="21">
        <f t="shared" si="1"/>
        <v>1.667500887850332E-2</v>
      </c>
      <c r="H24" s="20">
        <f>IF(($B$5)=(0),(B24-(Age!B21+(Age!C21*($B$3))))/(Age!D21),(B24-(Age!E21+(Age!F21*($B$3))))/(Age!G21))</f>
        <v>-5.6039203613350361</v>
      </c>
      <c r="I24" s="21">
        <f t="shared" si="2"/>
        <v>1.0477851061203495E-6</v>
      </c>
      <c r="J24" s="20">
        <f>IF(($B$5)=(0),(B24-(Education!B21+(Education!C21*($B$4))))/(Education!D21),(B24-(Education!E21+(Education!F21*($B$4))))/(Education!G21))</f>
        <v>-2.1259591081361635</v>
      </c>
      <c r="K24" s="21">
        <f t="shared" si="3"/>
        <v>1.6753332267794279</v>
      </c>
      <c r="L24" s="20">
        <f>IF(($B$5)=(0),(B24-(Intercept!B21))/(Intercept!C21),(B24-(Intercept!D21))/(Intercept!E21))</f>
        <v>-3.7950727356516061</v>
      </c>
      <c r="M24" s="21">
        <f t="shared" si="4"/>
        <v>7.3800089095633261E-3</v>
      </c>
    </row>
    <row r="25" spans="1:13" ht="16" thickBot="1" x14ac:dyDescent="0.25">
      <c r="A25" s="45" t="s">
        <v>88</v>
      </c>
      <c r="B25" s="38"/>
      <c r="C25" s="2" t="str">
        <f>IF((B25)&lt;(0), "outside allowable range", IF((B25)&gt;(44), "outside allowable range", "within allowable range"))</f>
        <v>within allowable range</v>
      </c>
      <c r="D25" s="20">
        <f>IF(($B$5)=(0), (B25-(Regression!B22 + (Regression!C22*($B$3)) + (Regression!D22*$B$4) + (Regression!E22*$B$2)))/(Regression!F22), (B25-(Regression!G22 + (Regression!H22*($B$3)) + (Regression!I22*$B$4) + (Regression!J22*$B$2)))/(Regression!K22))</f>
        <v>-2.540547674820818</v>
      </c>
      <c r="E25" s="21">
        <f t="shared" si="0"/>
        <v>0.55339501575897976</v>
      </c>
      <c r="F25" s="20">
        <f>IF(($B$5)=(0), (B25-(Sex!B22 + (Sex!C22*$B$2)))/(Sex!D22), (B25-(Sex!E22 + (Sex!F22*$B$2)))/(Sex!G22))</f>
        <v>-2.5327821787640912</v>
      </c>
      <c r="G25" s="21">
        <f t="shared" si="1"/>
        <v>0.5658062390925559</v>
      </c>
      <c r="H25" s="20">
        <f>IF(($B$5)=(0),(B25-(Age!B22+(Age!C22*($B$3))))/(Age!D22),(B25-(Age!E22+(Age!F22*($B$3))))/(Age!G22))</f>
        <v>-3.9728457613272825</v>
      </c>
      <c r="I25" s="21">
        <f t="shared" si="2"/>
        <v>3.5509519199854768E-3</v>
      </c>
      <c r="J25" s="20">
        <f>IF(($B$5)=(0),(B25-(Education!B22+(Education!C22*($B$4))))/(Education!D22),(B25-(Education!E22+(Education!F22*($B$4))))/(Education!G22))</f>
        <v>-1.8121143235077506</v>
      </c>
      <c r="K25" s="21">
        <f t="shared" si="3"/>
        <v>3.4984266811726514</v>
      </c>
      <c r="L25" s="20">
        <f>IF(($B$5)=(0),(B25-(Intercept!B22))/(Intercept!C22),(B25-(Intercept!D22))/(Intercept!E22))</f>
        <v>-2.7386419891073546</v>
      </c>
      <c r="M25" s="21">
        <f t="shared" si="4"/>
        <v>0.30846756954724636</v>
      </c>
    </row>
    <row r="26" spans="1:13" ht="16" thickBot="1" x14ac:dyDescent="0.25">
      <c r="A26" s="45" t="s">
        <v>89</v>
      </c>
      <c r="B26" s="38"/>
      <c r="C26" s="2" t="str">
        <f>IF((B26)&lt;(0), "outside allowable range", IF((B26)&gt;(25), "outside allowable range", "within allowable range"))</f>
        <v>within allowable range</v>
      </c>
      <c r="D26" s="20">
        <f>IF(($B$5)=(0), (B26-(Regression!B23 + (Regression!C23*($B$3)) + (Regression!D23*$B$4) + (Regression!E23*$B$2)))/(Regression!F23), (B26-(Regression!G23 + (Regression!H23*($B$3)) + (Regression!I23*$B$4) + (Regression!J23*$B$2)))/(Regression!K23))</f>
        <v>-2.8438085397591157</v>
      </c>
      <c r="E26" s="21">
        <f t="shared" si="0"/>
        <v>0.22288912923354012</v>
      </c>
      <c r="F26" s="20">
        <f>IF(($B$5)=(0), (B26-(Sex!B23 + (Sex!C23*$B$2)))/(Sex!D23), (B26-(Sex!E23 + (Sex!F23*$B$2)))/(Sex!G23))</f>
        <v>-3.1703660530200457</v>
      </c>
      <c r="G26" s="21">
        <f t="shared" si="1"/>
        <v>7.6123504177407708E-2</v>
      </c>
      <c r="H26" s="20">
        <f>IF(($B$5)=(0),(B26-(Age!B23+(Age!C23*($B$3))))/(Age!D23),(B26-(Age!E23+(Age!F23*($B$3))))/(Age!G23))</f>
        <v>-4.6620756598386013</v>
      </c>
      <c r="I26" s="21">
        <f t="shared" si="2"/>
        <v>1.56518029126665E-4</v>
      </c>
      <c r="J26" s="20">
        <f>IF(($B$5)=(0),(B26-(Education!B23+(Education!C23*($B$4))))/(Education!D23),(B26-(Education!E23+(Education!F23*($B$4))))/(Education!G23))</f>
        <v>-2.1443855259258688</v>
      </c>
      <c r="K26" s="21">
        <f t="shared" si="3"/>
        <v>1.600100451815857</v>
      </c>
      <c r="L26" s="20">
        <f>IF(($B$5)=(0),(B26-(Intercept!B23))/(Intercept!C23),(B26-(Intercept!D23))/(Intercept!E23))</f>
        <v>-3.3665533418437326</v>
      </c>
      <c r="M26" s="21">
        <f t="shared" si="4"/>
        <v>3.805693005875678E-2</v>
      </c>
    </row>
    <row r="27" spans="1:13" ht="16" thickBot="1" x14ac:dyDescent="0.25">
      <c r="A27" s="45" t="s">
        <v>49</v>
      </c>
      <c r="B27" s="40">
        <f>B13-B11</f>
        <v>0</v>
      </c>
      <c r="C27" s="2" t="s">
        <v>34</v>
      </c>
      <c r="D27" s="20">
        <f>IF(($B$5)=(0), (-1)*(B27-(Regression!B24 + (Regression!C24*($B$3)) + (Regression!D24*$B$4) + (Regression!E24*$B$2)))/(Regression!F24), (-1)*(B27-(Regression!G24 + (Regression!H24*($B$3)) + (Regression!I24*$B$4) + (Regression!J24*$B$2)))/(Regression!K24))</f>
        <v>2.3360739504406314</v>
      </c>
      <c r="E27" s="21">
        <f t="shared" si="0"/>
        <v>99.025630615117194</v>
      </c>
      <c r="F27" s="20">
        <f>IF(($B$5)=(0), (-1)*(B27-(Sex!B24 + (Sex!C24*$B$2)))/(Sex!D24), (-1)*(B27-(Sex!E24 + (Sex!F24*$B$2)))/(Sex!G24))</f>
        <v>1.4650165402931483</v>
      </c>
      <c r="G27" s="21">
        <f t="shared" si="1"/>
        <v>92.854179744526306</v>
      </c>
      <c r="H27" s="20">
        <f>IF(($B$5)=(0),(-1)*(B27-(Age!B24+(Age!C24*($B$3))))/(Age!D24), (-1)*(B27-(Age!E24+(Age!F24*($B$3))))/(Age!G24))</f>
        <v>0.21726779331963667</v>
      </c>
      <c r="I27" s="21">
        <f t="shared" si="2"/>
        <v>58.600017260029077</v>
      </c>
      <c r="J27" s="20">
        <f>IF(($B$5)=(0),(-1)*(B27-(Education!B24+(Education!C24*($B$4))))/(Education!D24),(-1)*(B27-(Education!E24+(Education!F24*($B$4))))/(Education!G24))</f>
        <v>2.9809881169387458</v>
      </c>
      <c r="K27" s="21">
        <f t="shared" si="3"/>
        <v>99.856340029207999</v>
      </c>
      <c r="L27" s="20">
        <f>IF(($B$5)=(0),(-1)*(B27-(Intercept!B24))/(Intercept!C24),(-1)*(B27-(Intercept!D24))/(Intercept!E24))</f>
        <v>1.3518450049112738</v>
      </c>
      <c r="M27" s="21">
        <f t="shared" si="4"/>
        <v>91.178754820999544</v>
      </c>
    </row>
    <row r="28" spans="1:13" ht="16" thickBot="1" x14ac:dyDescent="0.25">
      <c r="A28" s="45" t="s">
        <v>50</v>
      </c>
      <c r="B28" s="40" t="e">
        <f>B13/B11</f>
        <v>#DIV/0!</v>
      </c>
      <c r="C28" s="2" t="s">
        <v>34</v>
      </c>
      <c r="D28" s="20" t="e">
        <f>IF(($B$5)=(0), (-1)*(B28-(Regression!B25 + (Regression!C25*($B$3)) + (Regression!D25*$B$4) + (Regression!E25*$B$2)))/(Regression!F25), (-1)*(B28-(Regression!G25 + (Regression!H25*($B$3)) + (Regression!I25*$B$4) + (Regression!J25*$B$2)))/(Regression!K25))</f>
        <v>#DIV/0!</v>
      </c>
      <c r="E28" s="21" t="e">
        <f t="shared" si="0"/>
        <v>#DIV/0!</v>
      </c>
      <c r="F28" s="20" t="e">
        <f>IF(($B$5)=(0), (-1)*(B28-(Sex!B25 + (Sex!C25*$B$2)))/(Sex!D25), (-1)*(B28-(Sex!E25 + (Sex!F25*$B$2)))/(Sex!G25))</f>
        <v>#DIV/0!</v>
      </c>
      <c r="G28" s="21" t="e">
        <f t="shared" si="1"/>
        <v>#DIV/0!</v>
      </c>
      <c r="H28" s="20" t="e">
        <f>IF(($B$5)=(0),(-1)*(B28-(Age!B25+(Age!C25*($B$3))))/(Age!D25), (-1)*(B28-(Age!E25+(Age!F25*($B$3))))/(Age!G25))</f>
        <v>#DIV/0!</v>
      </c>
      <c r="I28" s="21" t="e">
        <f t="shared" si="2"/>
        <v>#DIV/0!</v>
      </c>
      <c r="J28" s="20" t="e">
        <f>IF(($B$5)=(0),(-1)*(B28-(Education!B25+(Education!C25*($B$4))))/(Education!D25),(-1)*(B28-(Education!E25+(Education!F25*($B$4))))/(Education!G25))</f>
        <v>#DIV/0!</v>
      </c>
      <c r="K28" s="21" t="e">
        <f t="shared" si="3"/>
        <v>#DIV/0!</v>
      </c>
      <c r="L28" s="20" t="e">
        <f>IF(($B$5)=(0),(-1)*(B28-(Intercept!B25))/(Intercept!C25),(-1)*(B28-(Intercept!D25))/(Intercept!E25))</f>
        <v>#DIV/0!</v>
      </c>
      <c r="M28" s="21" t="e">
        <f t="shared" si="4"/>
        <v>#DIV/0!</v>
      </c>
    </row>
    <row r="29" spans="1:13" ht="16" thickBot="1" x14ac:dyDescent="0.25">
      <c r="A29" s="45" t="s">
        <v>51</v>
      </c>
      <c r="B29" s="40">
        <f>(B19+B20)-B18</f>
        <v>0</v>
      </c>
      <c r="C29" s="2" t="s">
        <v>34</v>
      </c>
      <c r="D29" s="20">
        <f>IF(($B$5)=(0), (-1)*(B29-(Regression!B26 + (Regression!C26*($B$3)) + (Regression!D26*$B$4) + (Regression!E26*$B$2)))/(Regression!F26), (-1)*(B29-(Regression!G26 + (Regression!H26*($B$3)) + (Regression!I26*$B$4) + (Regression!J26*$B$2)))/(Regression!K26))</f>
        <v>2.1131428679308315</v>
      </c>
      <c r="E29" s="21">
        <f t="shared" si="0"/>
        <v>98.270572923685691</v>
      </c>
      <c r="F29" s="20">
        <f>IF(($B$5)=(0), (-1)*(B29-(Sex!B26 + (Sex!C26*$B$2)))/(Sex!D26), (-1)*(B29-(Sex!E26 + (Sex!F26*$B$2)))/(Sex!G26))</f>
        <v>1.0886074442166087</v>
      </c>
      <c r="G29" s="21">
        <f t="shared" si="1"/>
        <v>86.183648369394575</v>
      </c>
      <c r="H29" s="20">
        <f>IF(($B$5)=(0),(-1)*(B29-(Age!B26+(Age!C26*($B$3))))/(Age!D26), (-1)*(B29-(Age!E26+(Age!F26*($B$3))))/(Age!G26))</f>
        <v>1.216768404824158</v>
      </c>
      <c r="I29" s="21">
        <f t="shared" si="2"/>
        <v>88.815382782026859</v>
      </c>
      <c r="J29" s="20">
        <f>IF(($B$5)=(0),(-1)*(B29-(Education!B26+(Education!C26*($B$4))))/(Education!D26),(-1)*(B29-(Education!E26+(Education!F26*($B$4))))/(Education!G26))</f>
        <v>1.7235742890523031</v>
      </c>
      <c r="K29" s="21">
        <f t="shared" si="3"/>
        <v>95.760763832526081</v>
      </c>
      <c r="L29" s="20">
        <f>IF(($B$5)=(0),(-1)*(B29-(Intercept!B26))/(Intercept!C26),(-1)*(B29-(Intercept!D26))/(Intercept!E26))</f>
        <v>1.0870342937943396</v>
      </c>
      <c r="M29" s="21">
        <f t="shared" si="4"/>
        <v>86.148917295159919</v>
      </c>
    </row>
    <row r="30" spans="1:13" ht="16" thickBot="1" x14ac:dyDescent="0.25">
      <c r="A30" s="45" t="s">
        <v>48</v>
      </c>
      <c r="B30" s="40">
        <f>B47</f>
        <v>0</v>
      </c>
      <c r="C30" s="2" t="s">
        <v>34</v>
      </c>
      <c r="D30" s="20">
        <f>IF(($B$5)=(0), (-1)*(B30-(Regression!B27 + (Regression!C27*($B$3)) + (Regression!D27*$B$4) + (Regression!E27*$B$2)))/(Regression!F27), (-1)*(B30-(Regression!G27 + (Regression!H27*($B$3)) + (Regression!I27*$B$4) + (Regression!J27*$B$2)))/(Regression!K27))</f>
        <v>1.4353824040506611</v>
      </c>
      <c r="E30" s="21">
        <f t="shared" si="0"/>
        <v>92.441092132435998</v>
      </c>
      <c r="F30" s="20">
        <f>IF(($B$5)=(0), (-1)*(B30-(Sex!B27 + (Sex!C27*$B$2)))/(Sex!D27), (-1)*(B30-(Sex!E27 + (Sex!F27*$B$2)))/(Sex!G27))</f>
        <v>1.1693104837679646</v>
      </c>
      <c r="G30" s="21">
        <f t="shared" si="1"/>
        <v>87.886071960797011</v>
      </c>
      <c r="H30" s="20">
        <f>IF(($B$5)=(0),(-1)*(B30-(Age!B27+(Age!C27*($B$3))))/(Age!D27), (-1)*(B30-(Age!E27+(Age!F27*($B$3))))/(Age!G27))</f>
        <v>0.55746671006692072</v>
      </c>
      <c r="I30" s="21">
        <f t="shared" si="2"/>
        <v>71.139570109238974</v>
      </c>
      <c r="J30" s="20">
        <f>IF(($B$5)=(0),(-1)*(B30-(Education!B27+(Education!C27*($B$4))))/(Education!D27),(-1)*(B30-(Education!E27+(Education!F27*($B$4))))/(Education!G27))</f>
        <v>1.6968385757076829</v>
      </c>
      <c r="K30" s="21">
        <f t="shared" si="3"/>
        <v>95.513640828180456</v>
      </c>
      <c r="L30" s="20">
        <f>IF(($B$5)=(0),(-1)*(B30-(Intercept!B27))/(Intercept!C27),(-1)*(B30-(Intercept!D27))/(Intercept!E27))</f>
        <v>1.0756489933980629</v>
      </c>
      <c r="M30" s="21">
        <f t="shared" si="4"/>
        <v>85.895786640627875</v>
      </c>
    </row>
    <row r="31" spans="1:13" ht="16" thickBot="1" x14ac:dyDescent="0.25">
      <c r="A31" s="45" t="s">
        <v>90</v>
      </c>
      <c r="B31" s="41" t="e">
        <f>B25/B23*100</f>
        <v>#DIV/0!</v>
      </c>
      <c r="C31" s="2" t="s">
        <v>34</v>
      </c>
      <c r="D31" s="20" t="e">
        <f>IF(($B$5)=(0), (B31-(Regression!B28 + (Regression!C28*($B$3)) + (Regression!D28*$B$4) + (Regression!E28*$B$2)))/(Regression!F28), (B31-(Regression!G28 + (Regression!H28*($B$3)) + (Regression!I28*$B$4) + (Regression!J28*$B$2)))/(Regression!K28))</f>
        <v>#DIV/0!</v>
      </c>
      <c r="E31" s="21" t="e">
        <f t="shared" si="0"/>
        <v>#DIV/0!</v>
      </c>
      <c r="F31" s="20" t="e">
        <f>IF(($B$5)=(0), (B31-(Sex!B28 + (Sex!C28*$B$2)))/(Sex!D28), (B31-(Sex!E28 + (Sex!F28*$B$2)))/(Sex!G28))</f>
        <v>#DIV/0!</v>
      </c>
      <c r="G31" s="21" t="e">
        <f t="shared" si="1"/>
        <v>#DIV/0!</v>
      </c>
      <c r="H31" s="20" t="e">
        <f>IF(($B$5)=(0),(B31-(Age!B28+(Age!C28*($B$3))))/(Age!D28),(B31-(Age!E28+(Age!F28*($B$3))))/(Age!G28))</f>
        <v>#DIV/0!</v>
      </c>
      <c r="I31" s="21" t="e">
        <f t="shared" si="2"/>
        <v>#DIV/0!</v>
      </c>
      <c r="J31" s="20" t="e">
        <f>IF(($B$5)=(0),(B31-(Education!B28+(Education!C28*($B$4))))/(Education!D28),(B31-(Education!E28+(Education!F28*($B$4))))/(Education!G28))</f>
        <v>#DIV/0!</v>
      </c>
      <c r="K31" s="21" t="e">
        <f t="shared" si="3"/>
        <v>#DIV/0!</v>
      </c>
      <c r="L31" s="20" t="e">
        <f>IF(($B$5)=(0),(B31-(Intercept!B28))/(Intercept!C28),(B31-(Intercept!D28))/(Intercept!E28))</f>
        <v>#DIV/0!</v>
      </c>
      <c r="M31" s="21" t="e">
        <f t="shared" si="4"/>
        <v>#DIV/0!</v>
      </c>
    </row>
    <row r="32" spans="1:13" ht="16" thickBot="1" x14ac:dyDescent="0.25">
      <c r="A32" s="45" t="s">
        <v>91</v>
      </c>
      <c r="B32" s="40" t="e">
        <f>B22/B21*100</f>
        <v>#DIV/0!</v>
      </c>
      <c r="C32" s="2" t="s">
        <v>34</v>
      </c>
      <c r="D32" s="20" t="e">
        <f>IF(($B$5)=(0), (B32-(Regression!B29 + (Regression!C29*($B$3)) + (Regression!D29*$B$4) + (Regression!E29*$B$2)))/(Regression!F29), (B32-(Regression!G29 + (Regression!H29*($B$3)) + (Regression!I29*$B$4) + (Regression!J29*$B$2)))/(Regression!K29))</f>
        <v>#DIV/0!</v>
      </c>
      <c r="E32" s="21" t="e">
        <f t="shared" si="0"/>
        <v>#DIV/0!</v>
      </c>
      <c r="F32" s="20" t="e">
        <f>IF(($B$5)=(0), (B32-(Sex!B29 + (Sex!C29*$B$2)))/(Sex!D29), (B32-(Sex!E29 + (Sex!F29*$B$2)))/(Sex!G29))</f>
        <v>#DIV/0!</v>
      </c>
      <c r="G32" s="21" t="e">
        <f t="shared" si="1"/>
        <v>#DIV/0!</v>
      </c>
      <c r="H32" s="20" t="e">
        <f>IF(($B$5)=(0),(B32-(Age!B29+(Age!C29*($B$3))))/(Age!D29),(B32-(Age!E29+(Age!F29*($B$3))))/(Age!G29))</f>
        <v>#DIV/0!</v>
      </c>
      <c r="I32" s="21" t="e">
        <f t="shared" si="2"/>
        <v>#DIV/0!</v>
      </c>
      <c r="J32" s="20" t="e">
        <f>IF(($B$5)=(0),(B32-(Education!B29+(Education!C29*($B$4))))/(Education!D29),(B32-(Education!E29+(Education!F29*($B$4))))/(Education!G29))</f>
        <v>#DIV/0!</v>
      </c>
      <c r="K32" s="21" t="e">
        <f t="shared" si="3"/>
        <v>#DIV/0!</v>
      </c>
      <c r="L32" s="20" t="e">
        <f>IF(($B$5)=(0),(B32-(Intercept!B29))/(Intercept!C29),(B32-(Intercept!D29))/(Intercept!E29))</f>
        <v>#DIV/0!</v>
      </c>
      <c r="M32" s="21" t="e">
        <f t="shared" si="4"/>
        <v>#DIV/0!</v>
      </c>
    </row>
    <row r="33" spans="1:13" ht="16" thickBot="1" x14ac:dyDescent="0.25">
      <c r="A33" s="46" t="s">
        <v>27</v>
      </c>
      <c r="B33" s="42" t="e">
        <f>B31-B32</f>
        <v>#DIV/0!</v>
      </c>
      <c r="C33" s="35" t="s">
        <v>34</v>
      </c>
      <c r="D33" s="20" t="e">
        <f>IF(($B$5)=(0), (B33-(Regression!B30 + (Regression!C30*($B$3)) + (Regression!D30*$B$4) + (Regression!E30*$B$2)))/(Regression!F30), (B33-(Regression!G30 + (Regression!H30*($B$3)) + (Regression!I30*$B$4) + (Regression!J30*$B$2)))/(Regression!K30))</f>
        <v>#DIV/0!</v>
      </c>
      <c r="E33" s="21" t="e">
        <f t="shared" si="0"/>
        <v>#DIV/0!</v>
      </c>
      <c r="F33" s="20" t="e">
        <f>IF(($B$5)=(0), (B33-(Sex!B30 + (Sex!C30*$B$2)))/(Sex!D30), (B33-(Sex!E30 + (Sex!F30*$B$2)))/(Sex!G30))</f>
        <v>#DIV/0!</v>
      </c>
      <c r="G33" s="21" t="e">
        <f t="shared" si="1"/>
        <v>#DIV/0!</v>
      </c>
      <c r="H33" s="20" t="e">
        <f>IF(($B$5)=(0),(B33-(Age!B30+(Age!C30*($B$3))))/(Age!D30),(B33-(Age!E30+(Age!F30*($B$3))))/(Age!G30))</f>
        <v>#DIV/0!</v>
      </c>
      <c r="I33" s="21" t="e">
        <f t="shared" si="2"/>
        <v>#DIV/0!</v>
      </c>
      <c r="J33" s="20" t="e">
        <f>IF(($B$5)=(0),(B33-(Education!B30+(Education!C30*($B$4))))/(Education!D30),(B33-(Education!E30+(Education!F30*($B$4))))/(Education!G30))</f>
        <v>#DIV/0!</v>
      </c>
      <c r="K33" s="21" t="e">
        <f t="shared" si="3"/>
        <v>#DIV/0!</v>
      </c>
      <c r="L33" s="20" t="e">
        <f>IF(($B$5)=(0),(B33-(Intercept!B30))/(Intercept!C30),(B33-(Intercept!D30))/(Intercept!E30))</f>
        <v>#DIV/0!</v>
      </c>
      <c r="M33" s="21" t="e">
        <f t="shared" si="4"/>
        <v>#DIV/0!</v>
      </c>
    </row>
    <row r="34" spans="1:13" x14ac:dyDescent="0.2">
      <c r="A34" s="24" t="s">
        <v>35</v>
      </c>
      <c r="B34" s="24"/>
    </row>
    <row r="35" spans="1:13" ht="16" thickBot="1" x14ac:dyDescent="0.25">
      <c r="A35" s="34" t="s">
        <v>36</v>
      </c>
      <c r="B35" s="24"/>
    </row>
    <row r="36" spans="1:13" ht="16" thickBot="1" x14ac:dyDescent="0.25">
      <c r="A36" s="43" t="s">
        <v>37</v>
      </c>
      <c r="B36" s="32"/>
      <c r="C36" s="70" t="str">
        <f>IF((B36)&lt;(0), "outside allowable range", IF((B36)&gt;(24), "outside allowable range", "within allowable range"))</f>
        <v>within allowable range</v>
      </c>
    </row>
    <row r="37" spans="1:13" ht="16" thickBot="1" x14ac:dyDescent="0.25">
      <c r="A37" s="43" t="s">
        <v>38</v>
      </c>
      <c r="B37" s="33">
        <f>B11</f>
        <v>0</v>
      </c>
      <c r="C37" s="71" t="str">
        <f>IF((B37)&lt;(0), "outside allowable range", IF((B37)&gt;(150), "outside allowable range", "within allowable range"))</f>
        <v>within allowable range</v>
      </c>
    </row>
    <row r="38" spans="1:13" ht="16" thickBot="1" x14ac:dyDescent="0.25">
      <c r="A38" s="44" t="s">
        <v>39</v>
      </c>
      <c r="B38" s="33" t="e">
        <f>B36/B37</f>
        <v>#DIV/0!</v>
      </c>
      <c r="C38" s="71" t="s">
        <v>34</v>
      </c>
    </row>
    <row r="39" spans="1:13" ht="16" thickBot="1" x14ac:dyDescent="0.25">
      <c r="A39" s="43" t="s">
        <v>40</v>
      </c>
      <c r="B39" s="32"/>
      <c r="C39" s="71" t="str">
        <f>IF((B39)&lt;(0), "outside allowable range", IF((B39)&gt;(24), "outside allowable range", "within allowable range"))</f>
        <v>within allowable range</v>
      </c>
    </row>
    <row r="40" spans="1:13" ht="16" thickBot="1" x14ac:dyDescent="0.25">
      <c r="A40" s="43" t="s">
        <v>41</v>
      </c>
      <c r="B40" s="33">
        <f>B13</f>
        <v>0</v>
      </c>
      <c r="C40" s="71" t="str">
        <f>IF((B40)&lt;(0), "outside allowable range", IF((B40)&gt;(300), "outside allowable range", "within allowable range"))</f>
        <v>within allowable range</v>
      </c>
    </row>
    <row r="41" spans="1:13" ht="16" thickBot="1" x14ac:dyDescent="0.25">
      <c r="A41" s="44" t="s">
        <v>42</v>
      </c>
      <c r="B41" s="33" t="e">
        <f>B39/B40</f>
        <v>#DIV/0!</v>
      </c>
      <c r="C41" s="72" t="s">
        <v>34</v>
      </c>
    </row>
    <row r="42" spans="1:13" ht="16" thickBot="1" x14ac:dyDescent="0.25">
      <c r="A42" s="34" t="s">
        <v>43</v>
      </c>
      <c r="B42" s="34"/>
    </row>
    <row r="43" spans="1:13" ht="16" thickBot="1" x14ac:dyDescent="0.25">
      <c r="A43" s="43" t="s">
        <v>44</v>
      </c>
      <c r="B43" s="32"/>
      <c r="C43" s="70" t="str">
        <f>IF((B43)&lt;(0), "outside allowable range", IF((B43)&gt;(30), "outside allowable range", "within allowable range"))</f>
        <v>within allowable range</v>
      </c>
    </row>
    <row r="44" spans="1:13" ht="16" thickBot="1" x14ac:dyDescent="0.25">
      <c r="A44" s="43" t="s">
        <v>45</v>
      </c>
      <c r="B44" s="32"/>
      <c r="C44" s="71" t="str">
        <f>IF((B44)&lt;(0), "outside allowable range", IF((B44)&gt;(30), "outside allowable range", "within allowable range"))</f>
        <v>within allowable range</v>
      </c>
    </row>
    <row r="45" spans="1:13" ht="16" thickBot="1" x14ac:dyDescent="0.25">
      <c r="A45" s="43" t="s">
        <v>46</v>
      </c>
      <c r="B45" s="32"/>
      <c r="C45" s="71" t="str">
        <f>IF((B45)&lt;(0), "outside allowable range", IF((B45)&gt;(40), "outside allowable range", "within allowable range"))</f>
        <v>within allowable range</v>
      </c>
    </row>
    <row r="46" spans="1:13" ht="16" thickBot="1" x14ac:dyDescent="0.25">
      <c r="A46" s="43" t="s">
        <v>47</v>
      </c>
      <c r="B46" s="32"/>
      <c r="C46" s="71" t="str">
        <f>IF((B46)&lt;(0), "outside allowable range", IF((B46)&gt;(40), "outside allowable range", "within allowable range"))</f>
        <v>within allowable range</v>
      </c>
    </row>
    <row r="47" spans="1:13" ht="16" thickBot="1" x14ac:dyDescent="0.25">
      <c r="A47" s="44" t="s">
        <v>26</v>
      </c>
      <c r="B47" s="33">
        <f>SUM(B43:B46)</f>
        <v>0</v>
      </c>
      <c r="C47" s="72" t="s">
        <v>34</v>
      </c>
    </row>
    <row r="49" spans="1:11" ht="16" thickBot="1" x14ac:dyDescent="0.25">
      <c r="A49" s="3" t="s">
        <v>68</v>
      </c>
      <c r="B49" s="3" t="s">
        <v>69</v>
      </c>
      <c r="D49" s="4" t="s">
        <v>52</v>
      </c>
      <c r="E49" s="6" t="s">
        <v>53</v>
      </c>
      <c r="F49" s="8" t="s">
        <v>54</v>
      </c>
      <c r="G49" s="10" t="s">
        <v>55</v>
      </c>
      <c r="H49" s="12" t="s">
        <v>56</v>
      </c>
      <c r="I49" s="14" t="s">
        <v>57</v>
      </c>
      <c r="J49" s="16" t="s">
        <v>58</v>
      </c>
      <c r="K49" s="18" t="s">
        <v>59</v>
      </c>
    </row>
    <row r="50" spans="1:11" x14ac:dyDescent="0.2">
      <c r="A50" s="1"/>
      <c r="B50" s="3" t="s">
        <v>70</v>
      </c>
      <c r="D50" s="5" t="s">
        <v>60</v>
      </c>
      <c r="E50" s="7" t="s">
        <v>61</v>
      </c>
      <c r="F50" s="9" t="s">
        <v>62</v>
      </c>
      <c r="G50" s="11" t="s">
        <v>63</v>
      </c>
      <c r="H50" s="13" t="s">
        <v>64</v>
      </c>
      <c r="I50" s="15" t="s">
        <v>65</v>
      </c>
      <c r="J50" s="17" t="s">
        <v>66</v>
      </c>
      <c r="K50" s="19" t="s">
        <v>67</v>
      </c>
    </row>
    <row r="52" spans="1:11" x14ac:dyDescent="0.2">
      <c r="A52" s="78" t="s">
        <v>94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</row>
  </sheetData>
  <sheetProtection algorithmName="SHA-512" hashValue="59MVi6FDI0msfDqDpGTvtpalCnZOkf6GdNf3XyArqQAyaSS2BFqOYLgCCJBpnw6SXWM+QOL3xTqA+1TEJl2nDQ==" saltValue="W/Ei7BZ8mVwb7T2KpihdKw==" spinCount="100000" sheet="1" objects="1" scenarios="1"/>
  <protectedRanges>
    <protectedRange sqref="B2:B11 B13 B15:B26 B36 B39 B43:B46" name="User Input"/>
  </protectedRanges>
  <mergeCells count="6">
    <mergeCell ref="L4:M4"/>
    <mergeCell ref="A52:K52"/>
    <mergeCell ref="D4:E4"/>
    <mergeCell ref="F4:G4"/>
    <mergeCell ref="H4:I4"/>
    <mergeCell ref="J4:K4"/>
  </mergeCells>
  <conditionalFormatting sqref="C2:C11 C13 C15:C26">
    <cfRule type="cellIs" dxfId="53" priority="17" operator="equal">
      <formula>"outside allowable range"</formula>
    </cfRule>
    <cfRule type="cellIs" dxfId="52" priority="18" operator="equal">
      <formula>"within allowable range"</formula>
    </cfRule>
  </conditionalFormatting>
  <conditionalFormatting sqref="C12">
    <cfRule type="cellIs" dxfId="51" priority="15" operator="equal">
      <formula>"derived"</formula>
    </cfRule>
  </conditionalFormatting>
  <conditionalFormatting sqref="C14">
    <cfRule type="cellIs" dxfId="50" priority="14" operator="equal">
      <formula>"derived"</formula>
    </cfRule>
  </conditionalFormatting>
  <conditionalFormatting sqref="C27:C33">
    <cfRule type="cellIs" dxfId="49" priority="16" operator="equal">
      <formula>"derived"</formula>
    </cfRule>
  </conditionalFormatting>
  <conditionalFormatting sqref="C36:C37">
    <cfRule type="cellIs" dxfId="48" priority="3" operator="equal">
      <formula>"outside allowable range"</formula>
    </cfRule>
    <cfRule type="cellIs" dxfId="47" priority="4" operator="equal">
      <formula>"within allowable range"</formula>
    </cfRule>
  </conditionalFormatting>
  <conditionalFormatting sqref="C38">
    <cfRule type="cellIs" dxfId="46" priority="7" operator="equal">
      <formula>"derived"</formula>
    </cfRule>
  </conditionalFormatting>
  <conditionalFormatting sqref="C39:C40">
    <cfRule type="cellIs" dxfId="45" priority="1" operator="equal">
      <formula>"outside allowable range"</formula>
    </cfRule>
    <cfRule type="cellIs" dxfId="44" priority="2" operator="equal">
      <formula>"within allowable range"</formula>
    </cfRule>
  </conditionalFormatting>
  <conditionalFormatting sqref="C41">
    <cfRule type="cellIs" dxfId="43" priority="6" operator="equal">
      <formula>"derived"</formula>
    </cfRule>
  </conditionalFormatting>
  <conditionalFormatting sqref="C43:C46">
    <cfRule type="cellIs" dxfId="42" priority="8" operator="equal">
      <formula>"outside allowable range"</formula>
    </cfRule>
    <cfRule type="cellIs" dxfId="41" priority="9" operator="equal">
      <formula>"within allowable range"</formula>
    </cfRule>
  </conditionalFormatting>
  <conditionalFormatting sqref="C47">
    <cfRule type="cellIs" dxfId="40" priority="5" operator="equal">
      <formula>"derived"</formula>
    </cfRule>
  </conditionalFormatting>
  <conditionalFormatting sqref="E6:E33">
    <cfRule type="cellIs" dxfId="39" priority="58" operator="lessThan">
      <formula>1</formula>
    </cfRule>
    <cfRule type="cellIs" dxfId="38" priority="57" operator="between">
      <formula>1</formula>
      <formula>1.99</formula>
    </cfRule>
    <cfRule type="cellIs" dxfId="37" priority="56" operator="between">
      <formula>2</formula>
      <formula>8.99</formula>
    </cfRule>
    <cfRule type="cellIs" dxfId="36" priority="55" operator="between">
      <formula>9</formula>
      <formula>24.99</formula>
    </cfRule>
    <cfRule type="cellIs" dxfId="35" priority="54" operator="between">
      <formula>25</formula>
      <formula>74.99</formula>
    </cfRule>
    <cfRule type="cellIs" dxfId="34" priority="53" operator="between">
      <formula>75</formula>
      <formula>90.99</formula>
    </cfRule>
    <cfRule type="cellIs" dxfId="33" priority="52" operator="between">
      <formula>91</formula>
      <formula>97.99</formula>
    </cfRule>
    <cfRule type="cellIs" dxfId="32" priority="51" operator="greaterThan">
      <formula>98</formula>
    </cfRule>
  </conditionalFormatting>
  <conditionalFormatting sqref="G6:G33">
    <cfRule type="cellIs" dxfId="31" priority="43" operator="greaterThan">
      <formula>98</formula>
    </cfRule>
    <cfRule type="cellIs" dxfId="30" priority="50" operator="lessThan">
      <formula>1</formula>
    </cfRule>
    <cfRule type="cellIs" dxfId="29" priority="49" operator="between">
      <formula>1</formula>
      <formula>1.99</formula>
    </cfRule>
    <cfRule type="cellIs" dxfId="28" priority="48" operator="between">
      <formula>2</formula>
      <formula>8.99</formula>
    </cfRule>
    <cfRule type="cellIs" dxfId="27" priority="47" operator="between">
      <formula>9</formula>
      <formula>24.99</formula>
    </cfRule>
    <cfRule type="cellIs" dxfId="26" priority="46" operator="between">
      <formula>25</formula>
      <formula>74.99</formula>
    </cfRule>
    <cfRule type="cellIs" dxfId="25" priority="45" operator="between">
      <formula>75</formula>
      <formula>90.99</formula>
    </cfRule>
    <cfRule type="cellIs" dxfId="24" priority="44" operator="between">
      <formula>91</formula>
      <formula>97.99</formula>
    </cfRule>
  </conditionalFormatting>
  <conditionalFormatting sqref="I6:I33">
    <cfRule type="cellIs" dxfId="23" priority="35" operator="greaterThan">
      <formula>98</formula>
    </cfRule>
    <cfRule type="cellIs" dxfId="22" priority="36" operator="between">
      <formula>91</formula>
      <formula>97.99</formula>
    </cfRule>
    <cfRule type="cellIs" dxfId="21" priority="37" operator="between">
      <formula>75</formula>
      <formula>90.99</formula>
    </cfRule>
    <cfRule type="cellIs" dxfId="20" priority="38" operator="between">
      <formula>25</formula>
      <formula>74.99</formula>
    </cfRule>
    <cfRule type="cellIs" dxfId="19" priority="39" operator="between">
      <formula>9</formula>
      <formula>24.99</formula>
    </cfRule>
    <cfRule type="cellIs" dxfId="18" priority="40" operator="between">
      <formula>2</formula>
      <formula>8.99</formula>
    </cfRule>
    <cfRule type="cellIs" dxfId="17" priority="41" operator="between">
      <formula>1</formula>
      <formula>1.99</formula>
    </cfRule>
    <cfRule type="cellIs" dxfId="16" priority="42" operator="lessThan">
      <formula>1</formula>
    </cfRule>
  </conditionalFormatting>
  <conditionalFormatting sqref="K6:K33">
    <cfRule type="cellIs" dxfId="15" priority="32" operator="between">
      <formula>2</formula>
      <formula>8.99</formula>
    </cfRule>
    <cfRule type="cellIs" dxfId="14" priority="34" operator="lessThan">
      <formula>1</formula>
    </cfRule>
    <cfRule type="cellIs" dxfId="13" priority="33" operator="between">
      <formula>1</formula>
      <formula>1.99</formula>
    </cfRule>
    <cfRule type="cellIs" dxfId="12" priority="31" operator="between">
      <formula>9</formula>
      <formula>24.99</formula>
    </cfRule>
    <cfRule type="cellIs" dxfId="11" priority="30" operator="between">
      <formula>25</formula>
      <formula>74.99</formula>
    </cfRule>
    <cfRule type="cellIs" dxfId="10" priority="29" operator="between">
      <formula>75</formula>
      <formula>90.99</formula>
    </cfRule>
    <cfRule type="cellIs" dxfId="9" priority="28" operator="between">
      <formula>91</formula>
      <formula>97.99</formula>
    </cfRule>
    <cfRule type="cellIs" dxfId="8" priority="27" operator="greaterThan">
      <formula>98</formula>
    </cfRule>
  </conditionalFormatting>
  <conditionalFormatting sqref="M6:M33">
    <cfRule type="cellIs" dxfId="7" priority="19" operator="greaterThan">
      <formula>98</formula>
    </cfRule>
    <cfRule type="cellIs" dxfId="6" priority="26" operator="lessThan">
      <formula>1</formula>
    </cfRule>
    <cfRule type="cellIs" dxfId="5" priority="25" operator="between">
      <formula>1</formula>
      <formula>1.99</formula>
    </cfRule>
    <cfRule type="cellIs" dxfId="4" priority="24" operator="between">
      <formula>2</formula>
      <formula>8.99</formula>
    </cfRule>
    <cfRule type="cellIs" dxfId="3" priority="23" operator="between">
      <formula>9</formula>
      <formula>24.99</formula>
    </cfRule>
    <cfRule type="cellIs" dxfId="2" priority="22" operator="between">
      <formula>25</formula>
      <formula>74.99</formula>
    </cfRule>
    <cfRule type="cellIs" dxfId="1" priority="21" operator="between">
      <formula>75</formula>
      <formula>90.99</formula>
    </cfRule>
    <cfRule type="cellIs" dxfId="0" priority="20" operator="between">
      <formula>91</formula>
      <formula>97.99</formula>
    </cfRule>
  </conditionalFormatting>
  <pageMargins left="0.7" right="0.7" top="0.75" bottom="0.75" header="0.3" footer="0.3"/>
  <pageSetup orientation="portrait" r:id="rId1"/>
  <ignoredErrors>
    <ignoredError sqref="C10 C13 C24:C25 F6:F21 H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workbookViewId="0">
      <selection activeCell="A10" sqref="A10"/>
    </sheetView>
  </sheetViews>
  <sheetFormatPr baseColWidth="10" defaultColWidth="8.83203125" defaultRowHeight="15" x14ac:dyDescent="0.2"/>
  <cols>
    <col min="1" max="1" width="39.33203125" bestFit="1" customWidth="1"/>
    <col min="2" max="2" width="15" customWidth="1"/>
    <col min="3" max="6" width="13" customWidth="1"/>
    <col min="7" max="7" width="15" customWidth="1"/>
    <col min="8" max="11" width="13" customWidth="1"/>
  </cols>
  <sheetData>
    <row r="1" spans="1:11" x14ac:dyDescent="0.2">
      <c r="A1" s="53"/>
      <c r="B1" s="56" t="s">
        <v>72</v>
      </c>
      <c r="C1" s="66"/>
      <c r="D1" s="66"/>
      <c r="E1" s="66"/>
      <c r="F1" s="67"/>
      <c r="G1" s="56" t="s">
        <v>71</v>
      </c>
      <c r="H1" s="66"/>
      <c r="I1" s="66"/>
      <c r="J1" s="66"/>
      <c r="K1" s="67"/>
    </row>
    <row r="2" spans="1:11" ht="16" thickBot="1" x14ac:dyDescent="0.25">
      <c r="A2" s="55" t="s">
        <v>0</v>
      </c>
      <c r="B2" s="57" t="s">
        <v>29</v>
      </c>
      <c r="C2" s="68" t="s">
        <v>30</v>
      </c>
      <c r="D2" s="68" t="s">
        <v>31</v>
      </c>
      <c r="E2" s="68" t="s">
        <v>32</v>
      </c>
      <c r="F2" s="69" t="s">
        <v>33</v>
      </c>
      <c r="G2" s="57" t="s">
        <v>1</v>
      </c>
      <c r="H2" s="68" t="s">
        <v>2</v>
      </c>
      <c r="I2" s="68" t="s">
        <v>3</v>
      </c>
      <c r="J2" s="68" t="s">
        <v>4</v>
      </c>
      <c r="K2" s="69" t="s">
        <v>5</v>
      </c>
    </row>
    <row r="3" spans="1:11" x14ac:dyDescent="0.2">
      <c r="A3" s="54" t="s">
        <v>19</v>
      </c>
      <c r="B3" s="59">
        <v>24.269636522375954</v>
      </c>
      <c r="C3">
        <v>-9.1516076462963655E-2</v>
      </c>
      <c r="D3">
        <v>0.42386819323176672</v>
      </c>
      <c r="E3">
        <v>0.57942904942380324</v>
      </c>
      <c r="F3" s="60">
        <v>2.8768184830632708</v>
      </c>
      <c r="G3" s="59">
        <v>26.048943661903643</v>
      </c>
      <c r="H3">
        <v>-0.12845966505029527</v>
      </c>
      <c r="I3">
        <v>0.4985998567922576</v>
      </c>
      <c r="J3">
        <v>-0.72423482525188621</v>
      </c>
      <c r="K3" s="60">
        <v>3.6823324119784218</v>
      </c>
    </row>
    <row r="4" spans="1:11" x14ac:dyDescent="0.2">
      <c r="A4" s="54" t="s">
        <v>76</v>
      </c>
      <c r="B4" s="59">
        <v>3.7414920632388258</v>
      </c>
      <c r="C4">
        <v>-9.0127202354508846E-3</v>
      </c>
      <c r="D4">
        <v>0.25450886128509531</v>
      </c>
      <c r="E4">
        <v>-1.0610051819608272E-2</v>
      </c>
      <c r="F4" s="60">
        <v>2.2978849268271353</v>
      </c>
      <c r="G4" s="59">
        <v>4.177254022663254</v>
      </c>
      <c r="H4">
        <v>-5.661848665416613E-3</v>
      </c>
      <c r="I4">
        <v>0.11771852148501909</v>
      </c>
      <c r="J4">
        <v>-0.22440611996562582</v>
      </c>
      <c r="K4" s="60">
        <v>1.627235531226368</v>
      </c>
    </row>
    <row r="5" spans="1:11" x14ac:dyDescent="0.2">
      <c r="A5" s="54" t="s">
        <v>77</v>
      </c>
      <c r="B5" s="59">
        <v>4.5087619289389975</v>
      </c>
      <c r="C5">
        <v>-8.1952172375117857E-3</v>
      </c>
      <c r="D5">
        <v>0.1263860710092212</v>
      </c>
      <c r="E5">
        <v>8.8763007173312425E-2</v>
      </c>
      <c r="F5" s="60">
        <v>1.2782507270591448</v>
      </c>
      <c r="G5" s="59">
        <v>4.7364407670802917</v>
      </c>
      <c r="H5">
        <v>-6.4168553212346265E-3</v>
      </c>
      <c r="I5">
        <v>6.7600140032542014E-2</v>
      </c>
      <c r="J5">
        <v>-0.20867704982076624</v>
      </c>
      <c r="K5" s="60">
        <v>0.95847993623194616</v>
      </c>
    </row>
    <row r="6" spans="1:11" x14ac:dyDescent="0.2">
      <c r="A6" s="54" t="s">
        <v>78</v>
      </c>
      <c r="B6" s="59">
        <v>5.8344250877474924</v>
      </c>
      <c r="C6">
        <v>-3.6583054161919155E-2</v>
      </c>
      <c r="D6">
        <v>0.17432334973795871</v>
      </c>
      <c r="E6">
        <v>0.32764047744543484</v>
      </c>
      <c r="F6" s="60">
        <v>2.0258014592137559</v>
      </c>
      <c r="G6" s="59">
        <v>5.6039573709204147</v>
      </c>
      <c r="H6">
        <v>-2.9841086816925488E-2</v>
      </c>
      <c r="I6">
        <v>0.11423117892527784</v>
      </c>
      <c r="J6">
        <v>-0.45135371457705475</v>
      </c>
      <c r="K6" s="60">
        <v>1.5905587202358489</v>
      </c>
    </row>
    <row r="7" spans="1:11" x14ac:dyDescent="0.2">
      <c r="A7" s="54" t="s">
        <v>79</v>
      </c>
      <c r="B7" s="59">
        <v>5.4017869881089267</v>
      </c>
      <c r="C7">
        <v>-3.3111866010838334E-2</v>
      </c>
      <c r="D7">
        <v>9.1987642100761283E-2</v>
      </c>
      <c r="E7">
        <v>2.6916436045649778E-2</v>
      </c>
      <c r="F7" s="60">
        <v>1.177194241152334</v>
      </c>
      <c r="G7" s="59">
        <v>4.3093626102813598</v>
      </c>
      <c r="H7">
        <v>-1.6854036320060228E-2</v>
      </c>
      <c r="I7">
        <v>5.9924599526257248E-2</v>
      </c>
      <c r="J7">
        <v>-0.24144528107362545</v>
      </c>
      <c r="K7" s="60">
        <v>1.0224184648800014</v>
      </c>
    </row>
    <row r="8" spans="1:11" x14ac:dyDescent="0.2">
      <c r="A8" s="54" t="s">
        <v>93</v>
      </c>
      <c r="B8" s="59">
        <v>5.7497822404571615</v>
      </c>
      <c r="C8">
        <v>0.51395351353360097</v>
      </c>
      <c r="D8">
        <v>-0.45621523783383922</v>
      </c>
      <c r="E8">
        <v>-2.6149141928309478</v>
      </c>
      <c r="F8" s="60">
        <v>11.792860374798863</v>
      </c>
      <c r="G8" s="59">
        <v>19.286360740414409</v>
      </c>
      <c r="H8">
        <v>0.7865313799749627</v>
      </c>
      <c r="I8">
        <v>-2.2764105118784426</v>
      </c>
      <c r="J8">
        <v>6.8932677041162744</v>
      </c>
      <c r="K8" s="60">
        <v>27.4463547659734</v>
      </c>
    </row>
    <row r="9" spans="1:11" x14ac:dyDescent="0.2">
      <c r="A9" s="54" t="s">
        <v>81</v>
      </c>
      <c r="B9" s="59">
        <v>1.5542020702909221</v>
      </c>
      <c r="C9">
        <v>-1.2832340471877391E-2</v>
      </c>
      <c r="D9">
        <v>9.1171281897578574E-3</v>
      </c>
      <c r="E9">
        <v>4.2389562601943945E-2</v>
      </c>
      <c r="F9" s="60">
        <v>0.26676899337088467</v>
      </c>
      <c r="G9" s="59">
        <v>0.89220516786842063</v>
      </c>
      <c r="H9">
        <v>-7.2257393243731066E-3</v>
      </c>
      <c r="I9">
        <v>1.8692050608948279E-2</v>
      </c>
      <c r="J9">
        <v>-4.420453107684829E-2</v>
      </c>
      <c r="K9" s="60">
        <v>0.22687275982084865</v>
      </c>
    </row>
    <row r="10" spans="1:11" x14ac:dyDescent="0.2">
      <c r="A10" s="54" t="s">
        <v>92</v>
      </c>
      <c r="B10" s="59">
        <v>115.33603306960866</v>
      </c>
      <c r="C10">
        <v>1.0137509359627677</v>
      </c>
      <c r="D10">
        <v>-5.1321444471022009</v>
      </c>
      <c r="E10">
        <v>-12.591021530016173</v>
      </c>
      <c r="F10" s="60">
        <v>51.023527733995969</v>
      </c>
      <c r="G10" s="59">
        <v>132.2426025352612</v>
      </c>
      <c r="H10">
        <v>1.7042862467287079</v>
      </c>
      <c r="I10">
        <v>-8.6502622311801485</v>
      </c>
      <c r="J10">
        <v>25.126828084487865</v>
      </c>
      <c r="K10" s="60">
        <v>73.514254743488721</v>
      </c>
    </row>
    <row r="11" spans="1:11" x14ac:dyDescent="0.2">
      <c r="A11" s="54" t="s">
        <v>83</v>
      </c>
      <c r="B11" s="59">
        <v>0.36506853291085917</v>
      </c>
      <c r="C11">
        <v>-3.5573538180256998E-3</v>
      </c>
      <c r="D11">
        <v>1.040691514261013E-2</v>
      </c>
      <c r="E11">
        <v>3.1206332206714388E-2</v>
      </c>
      <c r="F11" s="60">
        <v>0.11821521137648069</v>
      </c>
      <c r="G11" s="59">
        <v>0.24769375413519484</v>
      </c>
      <c r="H11">
        <v>-2.435384726747133E-3</v>
      </c>
      <c r="I11">
        <v>1.2104225057178526E-2</v>
      </c>
      <c r="J11">
        <v>-4.3810231418436339E-2</v>
      </c>
      <c r="K11" s="60">
        <v>0.10101137431045981</v>
      </c>
    </row>
    <row r="12" spans="1:11" x14ac:dyDescent="0.2">
      <c r="A12" s="54" t="s">
        <v>18</v>
      </c>
      <c r="B12" s="59">
        <v>25.11989377757957</v>
      </c>
      <c r="C12">
        <v>3.7477362489410208E-3</v>
      </c>
      <c r="D12">
        <v>0.23163775102642964</v>
      </c>
      <c r="E12">
        <v>-0.77962015844784027</v>
      </c>
      <c r="F12" s="60">
        <v>2.8649498734442558</v>
      </c>
      <c r="G12" s="59">
        <v>30.917697393552523</v>
      </c>
      <c r="H12">
        <v>-5.2675504958765648E-2</v>
      </c>
      <c r="I12">
        <v>0.12355340106796017</v>
      </c>
      <c r="J12">
        <v>-0.6495515840596513</v>
      </c>
      <c r="K12" s="60">
        <v>2.4374336006964064</v>
      </c>
    </row>
    <row r="13" spans="1:11" x14ac:dyDescent="0.2">
      <c r="A13" s="54" t="s">
        <v>20</v>
      </c>
      <c r="B13" s="59">
        <v>6.1370727572809916</v>
      </c>
      <c r="C13">
        <v>-1.4412251876049678E-2</v>
      </c>
      <c r="D13">
        <v>0.48781719114637317</v>
      </c>
      <c r="E13">
        <v>1.0651936294805449</v>
      </c>
      <c r="F13" s="60">
        <v>4.2070654461429147</v>
      </c>
      <c r="G13" s="59">
        <v>11.797272618844737</v>
      </c>
      <c r="H13">
        <v>-3.0958220066705459E-2</v>
      </c>
      <c r="I13">
        <v>0.29786586680338234</v>
      </c>
      <c r="J13">
        <v>-0.47319375395393853</v>
      </c>
      <c r="K13" s="60">
        <v>4.1867297275269539</v>
      </c>
    </row>
    <row r="14" spans="1:11" x14ac:dyDescent="0.2">
      <c r="A14" s="54" t="s">
        <v>21</v>
      </c>
      <c r="B14" s="59">
        <v>6.1988177369901685</v>
      </c>
      <c r="C14">
        <v>-4.2578364652376632E-2</v>
      </c>
      <c r="D14">
        <v>0.51316740760104629</v>
      </c>
      <c r="E14">
        <v>1.4836308051168781</v>
      </c>
      <c r="F14" s="60">
        <v>4.0255425729314123</v>
      </c>
      <c r="G14" s="59">
        <v>9.2272671632926091</v>
      </c>
      <c r="H14">
        <v>-2.6174151725051137E-2</v>
      </c>
      <c r="I14">
        <v>0.31438212554479178</v>
      </c>
      <c r="J14">
        <v>0.29038938497858779</v>
      </c>
      <c r="K14" s="60">
        <v>4.0935801178847102</v>
      </c>
    </row>
    <row r="15" spans="1:11" x14ac:dyDescent="0.2">
      <c r="A15" s="54" t="s">
        <v>22</v>
      </c>
      <c r="B15" s="59">
        <v>12.684137760726781</v>
      </c>
      <c r="C15">
        <v>-5.8764954258440541E-2</v>
      </c>
      <c r="D15">
        <v>0.9790816290702552</v>
      </c>
      <c r="E15">
        <v>2.5929258420476882</v>
      </c>
      <c r="F15" s="60">
        <v>7.5300911358762166</v>
      </c>
      <c r="G15" s="59">
        <v>21.386470892283146</v>
      </c>
      <c r="H15">
        <v>-6.432783922086123E-2</v>
      </c>
      <c r="I15">
        <v>0.63689868342948286</v>
      </c>
      <c r="J15">
        <v>-0.18192804620608793</v>
      </c>
      <c r="K15" s="60">
        <v>7.690332566956112</v>
      </c>
    </row>
    <row r="16" spans="1:11" x14ac:dyDescent="0.2">
      <c r="A16" s="54" t="s">
        <v>74</v>
      </c>
      <c r="B16" s="59">
        <v>20.926713695883894</v>
      </c>
      <c r="C16">
        <v>-0.10364953507190885</v>
      </c>
      <c r="D16">
        <v>0.41594323390067955</v>
      </c>
      <c r="E16">
        <v>-0.20960469447159202</v>
      </c>
      <c r="F16" s="60">
        <v>4.5306834011237234</v>
      </c>
      <c r="G16" s="59">
        <v>26.682221171008528</v>
      </c>
      <c r="H16">
        <v>-0.16556978406142925</v>
      </c>
      <c r="I16">
        <v>0.29866891785102562</v>
      </c>
      <c r="J16">
        <v>-0.13852176584903156</v>
      </c>
      <c r="K16" s="60">
        <v>4.1951040282943994</v>
      </c>
    </row>
    <row r="17" spans="1:11" x14ac:dyDescent="0.2">
      <c r="A17" s="54" t="s">
        <v>75</v>
      </c>
      <c r="B17" s="59">
        <v>9.6617127858683283</v>
      </c>
      <c r="C17">
        <v>-1.5433473049958457E-2</v>
      </c>
      <c r="D17">
        <v>0.21553077286646355</v>
      </c>
      <c r="E17">
        <v>2.6646557945667602</v>
      </c>
      <c r="F17" s="60">
        <v>3.4713236444851869</v>
      </c>
      <c r="G17" s="59">
        <v>13.754846346825833</v>
      </c>
      <c r="H17">
        <v>-7.4198175858225801E-2</v>
      </c>
      <c r="I17">
        <v>0.1180400710107965</v>
      </c>
      <c r="J17">
        <v>2.817905736811483</v>
      </c>
      <c r="K17" s="60">
        <v>3.550669642930139</v>
      </c>
    </row>
    <row r="18" spans="1:11" x14ac:dyDescent="0.2">
      <c r="A18" s="54" t="s">
        <v>84</v>
      </c>
      <c r="B18" s="59">
        <v>17.695694843410404</v>
      </c>
      <c r="C18">
        <v>-4.1954107017112496E-2</v>
      </c>
      <c r="D18">
        <v>3.7485862137209384E-2</v>
      </c>
      <c r="E18">
        <v>0.14884407732728316</v>
      </c>
      <c r="F18" s="60">
        <v>1.301765487700743</v>
      </c>
      <c r="G18" s="59">
        <v>14.979051693516277</v>
      </c>
      <c r="H18">
        <v>-1.3285818569263148E-2</v>
      </c>
      <c r="I18">
        <v>0.10278854791543182</v>
      </c>
      <c r="J18">
        <v>-0.3965123654087121</v>
      </c>
      <c r="K18" s="60">
        <v>1.7800462709164406</v>
      </c>
    </row>
    <row r="19" spans="1:11" x14ac:dyDescent="0.2">
      <c r="A19" s="54" t="s">
        <v>85</v>
      </c>
      <c r="B19" s="59">
        <v>15.944881953722028</v>
      </c>
      <c r="C19">
        <v>-8.844718823282044E-2</v>
      </c>
      <c r="D19">
        <v>0.10926390381305698</v>
      </c>
      <c r="E19">
        <v>-0.45981035493475886</v>
      </c>
      <c r="F19" s="60">
        <v>2.9685718303256428</v>
      </c>
      <c r="G19" s="59">
        <v>15.531866650405641</v>
      </c>
      <c r="H19">
        <v>-8.501162175687231E-2</v>
      </c>
      <c r="I19">
        <v>0.17788319306749928</v>
      </c>
      <c r="J19">
        <v>-1.0170895309262846</v>
      </c>
      <c r="K19" s="60">
        <v>2.8269159280837011</v>
      </c>
    </row>
    <row r="20" spans="1:11" x14ac:dyDescent="0.2">
      <c r="A20" s="54" t="s">
        <v>86</v>
      </c>
      <c r="B20" s="59">
        <v>15.818261506995444</v>
      </c>
      <c r="C20">
        <v>-0.10099351586222463</v>
      </c>
      <c r="D20">
        <v>0.62149785548521086</v>
      </c>
      <c r="E20">
        <v>2.8991740891200393</v>
      </c>
      <c r="F20" s="60">
        <v>6.3194281651619253</v>
      </c>
      <c r="G20" s="59">
        <v>15.17460090277843</v>
      </c>
      <c r="H20">
        <v>-3.628212019252406E-2</v>
      </c>
      <c r="I20">
        <v>0.35069913910215866</v>
      </c>
      <c r="J20">
        <v>-0.46110367138688246</v>
      </c>
      <c r="K20" s="60">
        <v>5.8087677418055979</v>
      </c>
    </row>
    <row r="21" spans="1:11" x14ac:dyDescent="0.2">
      <c r="A21" s="54" t="s">
        <v>87</v>
      </c>
      <c r="B21" s="59">
        <v>11.987365695403147</v>
      </c>
      <c r="C21">
        <v>-6.8298231941985768E-2</v>
      </c>
      <c r="D21">
        <v>0.44283874514833726</v>
      </c>
      <c r="E21">
        <v>1.5509727466879717</v>
      </c>
      <c r="F21" s="60">
        <v>3.7279730300667464</v>
      </c>
      <c r="G21" s="59">
        <v>13.023651645971459</v>
      </c>
      <c r="H21">
        <v>-4.1988937384525811E-2</v>
      </c>
      <c r="I21">
        <v>0.2685125786662429</v>
      </c>
      <c r="J21">
        <v>-0.48167912968148952</v>
      </c>
      <c r="K21" s="60">
        <v>4.1610509435520067</v>
      </c>
    </row>
    <row r="22" spans="1:11" x14ac:dyDescent="0.2">
      <c r="A22" s="54" t="s">
        <v>88</v>
      </c>
      <c r="B22" s="59">
        <v>16.273108980225381</v>
      </c>
      <c r="C22">
        <v>-8.4901819109412871E-2</v>
      </c>
      <c r="D22">
        <v>0.39160764752477262</v>
      </c>
      <c r="E22">
        <v>2.2427935181440883</v>
      </c>
      <c r="F22" s="60">
        <v>6.4053546963542436</v>
      </c>
      <c r="G22" s="59">
        <v>11.737025546823924</v>
      </c>
      <c r="H22">
        <v>-1.7702205166972761E-2</v>
      </c>
      <c r="I22">
        <v>0.3557661415829913</v>
      </c>
      <c r="J22">
        <v>-1.0415999042969168</v>
      </c>
      <c r="K22" s="60">
        <v>5.4482031247616893</v>
      </c>
    </row>
    <row r="23" spans="1:11" x14ac:dyDescent="0.2">
      <c r="A23" s="54" t="s">
        <v>89</v>
      </c>
      <c r="B23" s="59">
        <v>11.652392218802534</v>
      </c>
      <c r="C23">
        <v>-5.2897258822473023E-2</v>
      </c>
      <c r="D23">
        <v>0.34300236018438635</v>
      </c>
      <c r="E23">
        <v>1.4639190476751631</v>
      </c>
      <c r="F23" s="60">
        <v>4.0974601686052843</v>
      </c>
      <c r="G23" s="59">
        <v>13.635648948400259</v>
      </c>
      <c r="H23">
        <v>-5.7971156340245369E-2</v>
      </c>
      <c r="I23">
        <v>0.23940051565214654</v>
      </c>
      <c r="J23">
        <v>-0.60190115608488792</v>
      </c>
      <c r="K23" s="60">
        <v>4.0897308267273775</v>
      </c>
    </row>
    <row r="24" spans="1:11" x14ac:dyDescent="0.2">
      <c r="A24" s="54" t="s">
        <v>23</v>
      </c>
      <c r="B24" s="59">
        <v>109.15047319607673</v>
      </c>
      <c r="C24">
        <v>0.51519439755022556</v>
      </c>
      <c r="D24">
        <v>-4.7112257208988559</v>
      </c>
      <c r="E24">
        <v>-9.981057648534513</v>
      </c>
      <c r="F24" s="60">
        <v>46.72389466758478</v>
      </c>
      <c r="G24" s="59">
        <v>106.8528599927605</v>
      </c>
      <c r="H24">
        <v>1.129692489510725</v>
      </c>
      <c r="I24">
        <v>-7.0768412348194616</v>
      </c>
      <c r="J24">
        <v>19.722623738583959</v>
      </c>
      <c r="K24" s="60">
        <v>62.416277313630879</v>
      </c>
    </row>
    <row r="25" spans="1:11" x14ac:dyDescent="0.2">
      <c r="A25" s="54" t="s">
        <v>24</v>
      </c>
      <c r="B25" s="59">
        <v>6.2388985921687503</v>
      </c>
      <c r="C25">
        <v>-1.7598272747967145E-2</v>
      </c>
      <c r="D25">
        <v>-0.11822531173215278</v>
      </c>
      <c r="E25">
        <v>-0.1294160579719725</v>
      </c>
      <c r="F25" s="60">
        <v>1.3665066792230014</v>
      </c>
      <c r="G25" s="59">
        <v>4.8400155616402039</v>
      </c>
      <c r="H25">
        <v>-5.6369976049310544E-3</v>
      </c>
      <c r="I25">
        <v>-9.5267231283082662E-2</v>
      </c>
      <c r="J25">
        <v>0.22218628562619816</v>
      </c>
      <c r="K25" s="60">
        <v>1.464426403077431</v>
      </c>
    </row>
    <row r="26" spans="1:11" x14ac:dyDescent="0.2">
      <c r="A26" s="54" t="s">
        <v>25</v>
      </c>
      <c r="B26" s="59">
        <v>16.062369596570143</v>
      </c>
      <c r="C26">
        <v>-3.4961090215004313E-2</v>
      </c>
      <c r="D26">
        <v>-0.33678254251634121</v>
      </c>
      <c r="E26">
        <v>-0.22483787843963968</v>
      </c>
      <c r="F26" s="60">
        <v>7.6011754057586529</v>
      </c>
      <c r="G26" s="59">
        <v>21.081587357016513</v>
      </c>
      <c r="H26">
        <v>-0.20150356372809372</v>
      </c>
      <c r="I26">
        <v>-0.24161900878751241</v>
      </c>
      <c r="J26">
        <v>2.7419244477668006</v>
      </c>
      <c r="K26" s="60">
        <v>7.3593401528756246</v>
      </c>
    </row>
    <row r="27" spans="1:11" x14ac:dyDescent="0.2">
      <c r="A27" s="54" t="s">
        <v>26</v>
      </c>
      <c r="B27" s="59">
        <v>3.5419219901460215</v>
      </c>
      <c r="C27">
        <v>1.2683130642692615E-2</v>
      </c>
      <c r="D27">
        <v>-9.7803622902728427E-2</v>
      </c>
      <c r="E27">
        <v>-0.36712483649986144</v>
      </c>
      <c r="F27" s="60">
        <v>2.4675807507119276</v>
      </c>
      <c r="G27" s="59">
        <v>3.0260471175908554</v>
      </c>
      <c r="H27">
        <v>2.8336701967823438E-2</v>
      </c>
      <c r="I27">
        <v>-0.13588704239389543</v>
      </c>
      <c r="J27">
        <v>0.17357080369195269</v>
      </c>
      <c r="K27" s="60">
        <v>2.9913232177560798</v>
      </c>
    </row>
    <row r="28" spans="1:11" x14ac:dyDescent="0.2">
      <c r="A28" s="54" t="s">
        <v>90</v>
      </c>
      <c r="B28" s="59">
        <v>88.251507371522436</v>
      </c>
      <c r="C28">
        <v>0.15751715331122268</v>
      </c>
      <c r="D28">
        <v>-0.62726986821704334</v>
      </c>
      <c r="E28">
        <v>-1.0900318982898265</v>
      </c>
      <c r="F28" s="60">
        <v>19.009387489677525</v>
      </c>
      <c r="G28" s="59">
        <v>75.134160313368071</v>
      </c>
      <c r="H28">
        <v>0.12395149693898343</v>
      </c>
      <c r="I28">
        <v>0.28207116207750532</v>
      </c>
      <c r="J28">
        <v>-3.0394777647507376</v>
      </c>
      <c r="K28" s="60">
        <v>20.735489391814468</v>
      </c>
    </row>
    <row r="29" spans="1:11" x14ac:dyDescent="0.2">
      <c r="A29" s="54" t="s">
        <v>91</v>
      </c>
      <c r="B29" s="59">
        <v>92.863556225744077</v>
      </c>
      <c r="C29">
        <v>-0.38302810724697384</v>
      </c>
      <c r="D29">
        <v>0.53935948983133286</v>
      </c>
      <c r="E29">
        <v>-3.5947712084462564</v>
      </c>
      <c r="F29" s="60">
        <v>18.187851248144327</v>
      </c>
      <c r="G29" s="59">
        <v>102.42498853150096</v>
      </c>
      <c r="H29">
        <v>-0.49223828721548896</v>
      </c>
      <c r="I29">
        <v>0.72360696335679653</v>
      </c>
      <c r="J29">
        <v>-4.7302472918451182</v>
      </c>
      <c r="K29" s="60">
        <v>18.90314107704187</v>
      </c>
    </row>
    <row r="30" spans="1:11" ht="16" thickBot="1" x14ac:dyDescent="0.25">
      <c r="A30" s="55" t="s">
        <v>27</v>
      </c>
      <c r="B30" s="61">
        <v>3.1743024820641637</v>
      </c>
      <c r="C30" s="65">
        <v>0.48747647301460989</v>
      </c>
      <c r="D30" s="65">
        <v>-1.348813216047648</v>
      </c>
      <c r="E30" s="65">
        <v>0.31820379919544639</v>
      </c>
      <c r="F30" s="62">
        <v>26.066078368485663</v>
      </c>
      <c r="G30" s="61">
        <v>-24.509608206648256</v>
      </c>
      <c r="H30" s="65">
        <v>0.59410949965174975</v>
      </c>
      <c r="I30" s="65">
        <v>-0.48828425113270257</v>
      </c>
      <c r="J30" s="65">
        <v>1.0211841722572232</v>
      </c>
      <c r="K30" s="62">
        <v>26.888151234527115</v>
      </c>
    </row>
    <row r="34" spans="1:1" x14ac:dyDescent="0.2">
      <c r="A34" s="51" t="s">
        <v>73</v>
      </c>
    </row>
  </sheetData>
  <sheetProtection algorithmName="SHA-512" hashValue="obfgKfACwwloYcUHLW/mkR2GTja4wOVS1FEtRZVKxu0DfYyJUiZwxqqNt5kVbymfpWhqsySTKRoyQ66u5Hsp2A==" saltValue="67swFl8RwzzBJkDKJuTMew==" spinCount="100000" sheet="1" objects="1" scenarios="1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4"/>
  <sheetViews>
    <sheetView workbookViewId="0">
      <selection activeCell="K12" sqref="K12"/>
    </sheetView>
  </sheetViews>
  <sheetFormatPr baseColWidth="10" defaultColWidth="8.83203125" defaultRowHeight="15" x14ac:dyDescent="0.2"/>
  <cols>
    <col min="1" max="1" width="39.33203125" bestFit="1" customWidth="1"/>
    <col min="2" max="2" width="15" customWidth="1"/>
    <col min="3" max="4" width="13" customWidth="1"/>
    <col min="5" max="5" width="15" customWidth="1"/>
    <col min="6" max="7" width="13" customWidth="1"/>
  </cols>
  <sheetData>
    <row r="1" spans="1:7" x14ac:dyDescent="0.2">
      <c r="A1" s="63"/>
      <c r="B1" s="56" t="s">
        <v>72</v>
      </c>
      <c r="C1" s="64"/>
      <c r="D1" s="58"/>
      <c r="E1" s="56" t="s">
        <v>71</v>
      </c>
      <c r="F1" s="64"/>
      <c r="G1" s="58"/>
    </row>
    <row r="2" spans="1:7" ht="16" thickBot="1" x14ac:dyDescent="0.25">
      <c r="A2" s="55" t="s">
        <v>0</v>
      </c>
      <c r="B2" s="57" t="s">
        <v>29</v>
      </c>
      <c r="C2" s="68" t="s">
        <v>32</v>
      </c>
      <c r="D2" s="69" t="s">
        <v>33</v>
      </c>
      <c r="E2" s="57" t="s">
        <v>1</v>
      </c>
      <c r="F2" s="68" t="s">
        <v>4</v>
      </c>
      <c r="G2" s="69" t="s">
        <v>5</v>
      </c>
    </row>
    <row r="3" spans="1:7" x14ac:dyDescent="0.2">
      <c r="A3" s="54" t="s">
        <v>19</v>
      </c>
      <c r="B3" s="59">
        <v>24.549999999999997</v>
      </c>
      <c r="C3">
        <v>0.40070422535211403</v>
      </c>
      <c r="D3" s="60">
        <v>3.1949216966754168</v>
      </c>
      <c r="E3" s="59">
        <v>23.023809523809526</v>
      </c>
      <c r="F3">
        <v>-1.6855742296918761</v>
      </c>
      <c r="G3" s="60">
        <v>4.7202521642403585</v>
      </c>
    </row>
    <row r="4" spans="1:7" x14ac:dyDescent="0.2">
      <c r="A4" s="54" t="s">
        <v>76</v>
      </c>
      <c r="B4" s="59">
        <v>7.1355932203389836</v>
      </c>
      <c r="C4">
        <v>-0.142537664783428</v>
      </c>
      <c r="D4" s="60">
        <v>2.3855997397661572</v>
      </c>
      <c r="E4" s="59">
        <v>5.1860465116279073</v>
      </c>
      <c r="F4">
        <v>-0.3730968713401373</v>
      </c>
      <c r="G4" s="60">
        <v>1.7282751815264625</v>
      </c>
    </row>
    <row r="5" spans="1:7" x14ac:dyDescent="0.2">
      <c r="A5" s="54" t="s">
        <v>77</v>
      </c>
      <c r="B5" s="59">
        <v>5.9322033898305087</v>
      </c>
      <c r="C5">
        <v>2.6129943502824399E-2</v>
      </c>
      <c r="D5" s="60">
        <v>1.3185979542573816</v>
      </c>
      <c r="E5" s="59">
        <v>5.0930232558139537</v>
      </c>
      <c r="F5">
        <v>-0.30165634933913338</v>
      </c>
      <c r="G5" s="60">
        <v>1.0181070323140391</v>
      </c>
    </row>
    <row r="6" spans="1:7" x14ac:dyDescent="0.2">
      <c r="A6" s="54" t="s">
        <v>78</v>
      </c>
      <c r="B6" s="59">
        <v>6.0169491525423728</v>
      </c>
      <c r="C6">
        <v>0.26082862523540506</v>
      </c>
      <c r="D6" s="60">
        <v>2.0993625421221092</v>
      </c>
      <c r="E6" s="59">
        <v>4.8571428571428577</v>
      </c>
      <c r="F6">
        <v>-0.64131551901336104</v>
      </c>
      <c r="G6" s="60">
        <v>1.721808904908495</v>
      </c>
    </row>
    <row r="7" spans="1:7" x14ac:dyDescent="0.2">
      <c r="A7" s="54" t="s">
        <v>79</v>
      </c>
      <c r="B7" s="59">
        <v>4.5254237288135597</v>
      </c>
      <c r="C7">
        <v>2.3540489642185063E-3</v>
      </c>
      <c r="D7" s="60">
        <v>1.2350614891850538</v>
      </c>
      <c r="E7" s="59">
        <v>3.833333333333333</v>
      </c>
      <c r="F7">
        <v>-0.34412470023980796</v>
      </c>
      <c r="G7" s="60">
        <v>1.0794348466549692</v>
      </c>
    </row>
    <row r="8" spans="1:7" x14ac:dyDescent="0.2">
      <c r="A8" s="54" t="s">
        <v>93</v>
      </c>
      <c r="B8" s="59">
        <v>34.895522388059703</v>
      </c>
      <c r="C8">
        <v>-2.5526652452025611</v>
      </c>
      <c r="D8" s="60">
        <v>12.626641350095339</v>
      </c>
      <c r="E8" s="59">
        <v>46.04347826086957</v>
      </c>
      <c r="F8">
        <v>12.20826999087868</v>
      </c>
      <c r="G8" s="60">
        <v>30.922263245199723</v>
      </c>
    </row>
    <row r="9" spans="1:7" x14ac:dyDescent="0.2">
      <c r="A9" s="54" t="s">
        <v>81</v>
      </c>
      <c r="B9" s="59">
        <v>0.79059145694309363</v>
      </c>
      <c r="C9">
        <v>4.211418134883959E-2</v>
      </c>
      <c r="D9" s="60">
        <v>0.28885915220941938</v>
      </c>
      <c r="E9" s="59">
        <v>0.61829163255835851</v>
      </c>
      <c r="F9">
        <v>-8.9378714410880925E-2</v>
      </c>
      <c r="G9" s="60">
        <v>0.25712813816024638</v>
      </c>
    </row>
    <row r="10" spans="1:7" x14ac:dyDescent="0.2">
      <c r="A10" s="54" t="s">
        <v>92</v>
      </c>
      <c r="B10" s="59">
        <v>105.60606060606059</v>
      </c>
      <c r="C10">
        <v>-10.074268698546147</v>
      </c>
      <c r="D10" s="60">
        <v>53.473398596587046</v>
      </c>
      <c r="E10" s="59">
        <v>139.47727272727275</v>
      </c>
      <c r="F10">
        <v>37.6565855404438</v>
      </c>
      <c r="G10" s="60">
        <v>85.725780704577588</v>
      </c>
    </row>
    <row r="11" spans="1:7" x14ac:dyDescent="0.2">
      <c r="A11" s="54" t="s">
        <v>83</v>
      </c>
      <c r="B11" s="59">
        <v>0.2789574985729516</v>
      </c>
      <c r="C11">
        <v>2.657343390001278E-2</v>
      </c>
      <c r="D11" s="60">
        <v>0.12519572985223312</v>
      </c>
      <c r="E11" s="59">
        <v>0.23401141002317757</v>
      </c>
      <c r="F11">
        <v>-6.1424019007672213E-2</v>
      </c>
      <c r="G11" s="60">
        <v>0.11848411579361126</v>
      </c>
    </row>
    <row r="12" spans="1:7" x14ac:dyDescent="0.2">
      <c r="A12" s="54" t="s">
        <v>18</v>
      </c>
      <c r="B12" s="59">
        <v>29.050847457627118</v>
      </c>
      <c r="C12">
        <v>-0.90399431077397141</v>
      </c>
      <c r="D12" s="60">
        <v>2.9126993850577874</v>
      </c>
      <c r="E12" s="59">
        <v>28.738095238095237</v>
      </c>
      <c r="F12">
        <v>-0.98809523809523825</v>
      </c>
      <c r="G12" s="60">
        <v>2.5602057885360856</v>
      </c>
    </row>
    <row r="13" spans="1:7" x14ac:dyDescent="0.2">
      <c r="A13" s="54" t="s">
        <v>20</v>
      </c>
      <c r="B13" s="59">
        <v>12.82089552238806</v>
      </c>
      <c r="C13">
        <v>0.79313956533123908</v>
      </c>
      <c r="D13" s="60">
        <v>4.3813825414842045</v>
      </c>
      <c r="E13" s="59">
        <v>13.255813953488371</v>
      </c>
      <c r="F13">
        <v>-0.96295681063122829</v>
      </c>
      <c r="G13" s="60">
        <v>4.4555378067369542</v>
      </c>
    </row>
    <row r="14" spans="1:7" x14ac:dyDescent="0.2">
      <c r="A14" s="54" t="s">
        <v>21</v>
      </c>
      <c r="B14" s="59">
        <v>11.272727272727273</v>
      </c>
      <c r="C14">
        <v>1.2389006342494702</v>
      </c>
      <c r="D14" s="60">
        <v>4.2576290715015999</v>
      </c>
      <c r="E14" s="59">
        <v>11.051282051282051</v>
      </c>
      <c r="F14">
        <v>-5.8689458689458684E-2</v>
      </c>
      <c r="G14" s="60">
        <v>4.3887342751336318</v>
      </c>
    </row>
    <row r="15" spans="1:7" x14ac:dyDescent="0.2">
      <c r="A15" s="54" t="s">
        <v>22</v>
      </c>
      <c r="B15" s="59">
        <v>23.954545454545453</v>
      </c>
      <c r="C15">
        <v>2.0922381711855391</v>
      </c>
      <c r="D15" s="60">
        <v>7.9547896363743851</v>
      </c>
      <c r="E15" s="59">
        <v>24.282051282051281</v>
      </c>
      <c r="F15">
        <v>-0.91168091168091125</v>
      </c>
      <c r="G15" s="60">
        <v>8.3524745384223529</v>
      </c>
    </row>
    <row r="16" spans="1:7" x14ac:dyDescent="0.2">
      <c r="A16" s="54" t="s">
        <v>74</v>
      </c>
      <c r="B16" s="59">
        <v>20.164179104477615</v>
      </c>
      <c r="C16">
        <v>-0.41986092265943237</v>
      </c>
      <c r="D16" s="60">
        <v>4.7548570267184118</v>
      </c>
      <c r="E16" s="59">
        <v>18.74468085106383</v>
      </c>
      <c r="F16">
        <v>-0.95995862884160876</v>
      </c>
      <c r="G16" s="60">
        <v>4.7438417663578916</v>
      </c>
    </row>
    <row r="17" spans="1:7" x14ac:dyDescent="0.2">
      <c r="A17" s="54" t="s">
        <v>75</v>
      </c>
      <c r="B17" s="59">
        <v>11.969230769230769</v>
      </c>
      <c r="C17">
        <v>2.5507692307692307</v>
      </c>
      <c r="D17" s="60">
        <v>3.5072664434889731</v>
      </c>
      <c r="E17" s="59">
        <v>10</v>
      </c>
      <c r="F17">
        <v>2.4685314685314683</v>
      </c>
      <c r="G17" s="60">
        <v>3.656536257467208</v>
      </c>
    </row>
    <row r="18" spans="1:7" x14ac:dyDescent="0.2">
      <c r="A18" s="54" t="s">
        <v>84</v>
      </c>
      <c r="B18" s="59">
        <v>15.318181818181818</v>
      </c>
      <c r="C18">
        <v>0.15240641711229966</v>
      </c>
      <c r="D18" s="60">
        <v>1.3503262078099922</v>
      </c>
      <c r="E18" s="59">
        <v>15.285714285714286</v>
      </c>
      <c r="F18">
        <v>-0.55909558067831489</v>
      </c>
      <c r="G18" s="60">
        <v>1.8553605551849721</v>
      </c>
    </row>
    <row r="19" spans="1:7" x14ac:dyDescent="0.2">
      <c r="A19" s="54" t="s">
        <v>85</v>
      </c>
      <c r="B19" s="59">
        <v>11.40909090909091</v>
      </c>
      <c r="C19">
        <v>-0.467914438502674</v>
      </c>
      <c r="D19" s="60">
        <v>3.0713497618571464</v>
      </c>
      <c r="E19" s="59">
        <v>11.69047619047619</v>
      </c>
      <c r="F19">
        <v>-1.4386776293251116</v>
      </c>
      <c r="G19" s="60">
        <v>3.0828080147921142</v>
      </c>
    </row>
    <row r="20" spans="1:7" x14ac:dyDescent="0.2">
      <c r="A20" s="54" t="s">
        <v>86</v>
      </c>
      <c r="B20" s="59">
        <v>18.542372881355931</v>
      </c>
      <c r="C20">
        <v>2.6381826741996233</v>
      </c>
      <c r="D20" s="60">
        <v>6.582031028070924</v>
      </c>
      <c r="E20" s="59">
        <v>16.813953488372096</v>
      </c>
      <c r="F20">
        <v>-0.95064413585411078</v>
      </c>
      <c r="G20" s="60">
        <v>6.0703809626034078</v>
      </c>
    </row>
    <row r="21" spans="1:7" x14ac:dyDescent="0.2">
      <c r="A21" s="54" t="s">
        <v>87</v>
      </c>
      <c r="B21" s="59">
        <v>14.186440677966102</v>
      </c>
      <c r="C21">
        <v>1.3621704331450095</v>
      </c>
      <c r="D21" s="60">
        <v>3.954095348332467</v>
      </c>
      <c r="E21" s="59">
        <v>13.279069767441861</v>
      </c>
      <c r="F21">
        <v>-0.89058055880876841</v>
      </c>
      <c r="G21" s="60">
        <v>4.3942340664434028</v>
      </c>
    </row>
    <row r="22" spans="1:7" x14ac:dyDescent="0.2">
      <c r="A22" s="54" t="s">
        <v>88</v>
      </c>
      <c r="B22" s="59">
        <v>16.491525423728813</v>
      </c>
      <c r="C22">
        <v>2.1028801706767806</v>
      </c>
      <c r="D22" s="60">
        <v>6.5112292569020287</v>
      </c>
      <c r="E22" s="59">
        <v>14.744186046511631</v>
      </c>
      <c r="F22">
        <v>-1.4923874853605514</v>
      </c>
      <c r="G22" s="60">
        <v>5.7205152724748976</v>
      </c>
    </row>
    <row r="23" spans="1:7" x14ac:dyDescent="0.2">
      <c r="A23" s="54" t="s">
        <v>89</v>
      </c>
      <c r="B23" s="59">
        <v>13.35593220338983</v>
      </c>
      <c r="C23">
        <v>1.3176789077212809</v>
      </c>
      <c r="D23" s="60">
        <v>4.2127413617323963</v>
      </c>
      <c r="E23" s="59">
        <v>12.418604651162791</v>
      </c>
      <c r="F23">
        <v>-1.0157269533210653</v>
      </c>
      <c r="G23" s="60">
        <v>4.302392077024602</v>
      </c>
    </row>
    <row r="24" spans="1:7" x14ac:dyDescent="0.2">
      <c r="A24" s="54" t="s">
        <v>23</v>
      </c>
      <c r="B24" s="59">
        <v>70.939393939393938</v>
      </c>
      <c r="C24">
        <v>-7.540550008758097</v>
      </c>
      <c r="D24" s="60">
        <v>48.42224779605494</v>
      </c>
      <c r="E24" s="59">
        <v>94.159090909090907</v>
      </c>
      <c r="F24">
        <v>29.54957050823192</v>
      </c>
      <c r="G24" s="60">
        <v>71.607993786852958</v>
      </c>
    </row>
    <row r="25" spans="1:7" x14ac:dyDescent="0.2">
      <c r="A25" s="54" t="s">
        <v>24</v>
      </c>
      <c r="B25" s="59">
        <v>3.1284271689315135</v>
      </c>
      <c r="C25">
        <v>-5.8607485560823437E-2</v>
      </c>
      <c r="D25" s="60">
        <v>1.3956586183986273</v>
      </c>
      <c r="E25" s="59">
        <v>3.2028528411500745</v>
      </c>
      <c r="F25">
        <v>0.32109322110258548</v>
      </c>
      <c r="G25" s="60">
        <v>1.5203495030759913</v>
      </c>
    </row>
    <row r="26" spans="1:7" x14ac:dyDescent="0.2">
      <c r="A26" s="54" t="s">
        <v>25</v>
      </c>
      <c r="B26" s="59">
        <v>8.292307692307693</v>
      </c>
      <c r="C26">
        <v>-4.0845704003599631E-2</v>
      </c>
      <c r="D26" s="60">
        <v>7.6173534696660665</v>
      </c>
      <c r="E26" s="59">
        <v>4.0000000000000009</v>
      </c>
      <c r="F26">
        <v>2.5820895522388048</v>
      </c>
      <c r="G26" s="60">
        <v>7.5295119227533753</v>
      </c>
    </row>
    <row r="27" spans="1:7" x14ac:dyDescent="0.2">
      <c r="A27" s="54" t="s">
        <v>26</v>
      </c>
      <c r="B27" s="59">
        <v>2.8923076923076927</v>
      </c>
      <c r="C27">
        <v>-0.32344541685859057</v>
      </c>
      <c r="D27" s="60">
        <v>2.4735155738855377</v>
      </c>
      <c r="E27" s="59">
        <v>3.3611111111111116</v>
      </c>
      <c r="F27">
        <v>0.29990583804143056</v>
      </c>
      <c r="G27" s="60">
        <v>3.0551361343620331</v>
      </c>
    </row>
    <row r="28" spans="1:7" x14ac:dyDescent="0.2">
      <c r="A28" s="54" t="s">
        <v>90</v>
      </c>
      <c r="B28" s="59">
        <v>89.417845114479704</v>
      </c>
      <c r="C28">
        <v>-0.88374329125035278</v>
      </c>
      <c r="D28" s="60">
        <v>19.04796251651673</v>
      </c>
      <c r="E28" s="59">
        <v>87.226833379551039</v>
      </c>
      <c r="F28">
        <v>-3.0658922992735769</v>
      </c>
      <c r="G28" s="60">
        <v>20.674803701527612</v>
      </c>
    </row>
    <row r="29" spans="1:7" x14ac:dyDescent="0.2">
      <c r="A29" s="54" t="s">
        <v>91</v>
      </c>
      <c r="B29" s="59">
        <v>74.263806232389115</v>
      </c>
      <c r="C29">
        <v>-3.6640433943044757</v>
      </c>
      <c r="D29" s="60">
        <v>18.484417270746818</v>
      </c>
      <c r="E29" s="59">
        <v>76.476641938826816</v>
      </c>
      <c r="F29">
        <v>-6.7762739497368631</v>
      </c>
      <c r="G29" s="60">
        <v>19.751042574838884</v>
      </c>
    </row>
    <row r="30" spans="1:7" ht="16" thickBot="1" x14ac:dyDescent="0.25">
      <c r="A30" s="55" t="s">
        <v>27</v>
      </c>
      <c r="B30" s="61">
        <v>16.162316163537106</v>
      </c>
      <c r="C30" s="65">
        <v>0.55895152619782407</v>
      </c>
      <c r="D30" s="62">
        <v>26.55690259384189</v>
      </c>
      <c r="E30" s="61">
        <v>11.46647658921686</v>
      </c>
      <c r="F30" s="65">
        <v>2.9940965019706844</v>
      </c>
      <c r="G30" s="62">
        <v>27.388781726581644</v>
      </c>
    </row>
    <row r="34" spans="1:1" x14ac:dyDescent="0.2">
      <c r="A34" s="51" t="s">
        <v>73</v>
      </c>
    </row>
  </sheetData>
  <sheetProtection algorithmName="SHA-512" hashValue="OMWoVH9KuognV45SaCUhKYrGPAGw32VHEi/D4xZKoBJmYHOEQl/fNJM+qWYOeN0fQcu1h16/9EtiUP/k5jA+TA==" saltValue="LgGH0y3p/oEJ/P0aeeTwuw==" spinCount="100000" sheet="1" objects="1" scenarios="1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4"/>
  <sheetViews>
    <sheetView workbookViewId="0">
      <selection activeCell="J9" sqref="J9"/>
    </sheetView>
  </sheetViews>
  <sheetFormatPr baseColWidth="10" defaultColWidth="8.83203125" defaultRowHeight="15" x14ac:dyDescent="0.2"/>
  <cols>
    <col min="1" max="1" width="39.33203125" bestFit="1" customWidth="1"/>
    <col min="2" max="2" width="15" customWidth="1"/>
    <col min="3" max="4" width="13" customWidth="1"/>
    <col min="5" max="5" width="15" customWidth="1"/>
    <col min="6" max="7" width="13" customWidth="1"/>
  </cols>
  <sheetData>
    <row r="1" spans="1:7" x14ac:dyDescent="0.2">
      <c r="A1" s="63"/>
      <c r="B1" s="56" t="s">
        <v>72</v>
      </c>
      <c r="C1" s="64"/>
      <c r="D1" s="58"/>
      <c r="E1" s="56" t="s">
        <v>71</v>
      </c>
      <c r="F1" s="64"/>
      <c r="G1" s="58"/>
    </row>
    <row r="2" spans="1:7" ht="16" thickBot="1" x14ac:dyDescent="0.25">
      <c r="A2" s="55" t="s">
        <v>0</v>
      </c>
      <c r="B2" s="57" t="s">
        <v>29</v>
      </c>
      <c r="C2" s="68" t="s">
        <v>30</v>
      </c>
      <c r="D2" s="69" t="s">
        <v>33</v>
      </c>
      <c r="E2" s="57" t="s">
        <v>1</v>
      </c>
      <c r="F2" s="68" t="s">
        <v>2</v>
      </c>
      <c r="G2" s="69" t="s">
        <v>5</v>
      </c>
    </row>
    <row r="3" spans="1:7" x14ac:dyDescent="0.2">
      <c r="A3" s="54" t="s">
        <v>19</v>
      </c>
      <c r="B3" s="59">
        <v>32.899608956683302</v>
      </c>
      <c r="C3">
        <v>-0.1153944317361988</v>
      </c>
      <c r="D3" s="60">
        <v>3.0651757097314474</v>
      </c>
      <c r="E3" s="59">
        <v>37.720521649999668</v>
      </c>
      <c r="F3">
        <v>-0.22111947906729462</v>
      </c>
      <c r="G3" s="60">
        <v>4.4259609350221734</v>
      </c>
    </row>
    <row r="4" spans="1:7" x14ac:dyDescent="0.2">
      <c r="A4" s="54" t="s">
        <v>76</v>
      </c>
      <c r="B4" s="59">
        <v>8.693435032186791</v>
      </c>
      <c r="C4">
        <v>-2.3734610044749534E-2</v>
      </c>
      <c r="D4" s="60">
        <v>2.3786976954520518</v>
      </c>
      <c r="E4" s="59">
        <v>6.8706964775390205</v>
      </c>
      <c r="F4">
        <v>-2.7283645063061034E-2</v>
      </c>
      <c r="G4" s="60">
        <v>1.7214822897803033</v>
      </c>
    </row>
    <row r="5" spans="1:7" x14ac:dyDescent="0.2">
      <c r="A5" s="54" t="s">
        <v>77</v>
      </c>
      <c r="B5" s="59">
        <v>7.0506269315961454</v>
      </c>
      <c r="C5">
        <v>-1.5736084487151417E-2</v>
      </c>
      <c r="D5" s="60">
        <v>1.312451362821055</v>
      </c>
      <c r="E5" s="59">
        <v>6.2606408012857298</v>
      </c>
      <c r="F5">
        <v>-1.9365696867864976E-2</v>
      </c>
      <c r="G5" s="60">
        <v>1.0141710477511114</v>
      </c>
    </row>
    <row r="6" spans="1:7" x14ac:dyDescent="0.2">
      <c r="A6" s="54" t="s">
        <v>78</v>
      </c>
      <c r="B6" s="59">
        <v>9.5210749119864779</v>
      </c>
      <c r="C6">
        <v>-4.7486387351901922E-2</v>
      </c>
      <c r="D6" s="60">
        <v>2.0671057159436979</v>
      </c>
      <c r="E6" s="59">
        <v>8.1703849019605386</v>
      </c>
      <c r="F6">
        <v>-5.2732403343125366E-2</v>
      </c>
      <c r="G6" s="60">
        <v>1.6898193030985098</v>
      </c>
    </row>
    <row r="7" spans="1:7" x14ac:dyDescent="0.2">
      <c r="A7" s="54" t="s">
        <v>79</v>
      </c>
      <c r="B7" s="59">
        <v>7.2186520737186726</v>
      </c>
      <c r="C7">
        <v>-3.8508094474933606E-2</v>
      </c>
      <c r="D7" s="60">
        <v>1.1948566393885913</v>
      </c>
      <c r="E7" s="59">
        <v>5.6544255891698549</v>
      </c>
      <c r="F7">
        <v>-2.8894822683522486E-2</v>
      </c>
      <c r="G7" s="60">
        <v>1.0637189955766453</v>
      </c>
    </row>
    <row r="8" spans="1:7" x14ac:dyDescent="0.2">
      <c r="A8" s="54" t="s">
        <v>93</v>
      </c>
      <c r="B8" s="59">
        <v>-5.2897985184492171</v>
      </c>
      <c r="C8">
        <v>0.54418778059894124</v>
      </c>
      <c r="D8" s="60">
        <v>11.846185296305341</v>
      </c>
      <c r="E8" s="59">
        <v>-31.812579133231566</v>
      </c>
      <c r="F8">
        <v>1.2071479903146733</v>
      </c>
      <c r="G8" s="60">
        <v>29.81616623913817</v>
      </c>
    </row>
    <row r="9" spans="1:7" x14ac:dyDescent="0.2">
      <c r="A9" s="54" t="s">
        <v>81</v>
      </c>
      <c r="B9" s="59">
        <v>1.766914506517155</v>
      </c>
      <c r="C9">
        <v>-1.3425622740189165E-2</v>
      </c>
      <c r="D9" s="60">
        <v>0.26715484616008833</v>
      </c>
      <c r="E9" s="59">
        <v>1.3160676202703121</v>
      </c>
      <c r="F9">
        <v>-1.0608802515930495E-2</v>
      </c>
      <c r="G9" s="60">
        <v>0.24550037342881997</v>
      </c>
    </row>
    <row r="10" spans="1:7" x14ac:dyDescent="0.2">
      <c r="A10" s="54" t="s">
        <v>92</v>
      </c>
      <c r="B10" s="59">
        <v>6.4638532506186124</v>
      </c>
      <c r="C10">
        <v>1.3073756975195889</v>
      </c>
      <c r="D10" s="60">
        <v>52.596998994628379</v>
      </c>
      <c r="E10" s="59">
        <v>-35.958788051866605</v>
      </c>
      <c r="F10">
        <v>2.8435111343297947</v>
      </c>
      <c r="G10" s="60">
        <v>84.419086545721029</v>
      </c>
    </row>
    <row r="11" spans="1:7" x14ac:dyDescent="0.2">
      <c r="A11" s="54" t="s">
        <v>83</v>
      </c>
      <c r="B11" s="59">
        <v>0.59032540464551886</v>
      </c>
      <c r="C11">
        <v>-4.1581648150439106E-3</v>
      </c>
      <c r="D11" s="60">
        <v>0.12111560820731498</v>
      </c>
      <c r="E11" s="59">
        <v>0.47975197982020634</v>
      </c>
      <c r="F11">
        <v>-4.0731122812367303E-3</v>
      </c>
      <c r="G11" s="60">
        <v>0.11725719425358444</v>
      </c>
    </row>
    <row r="12" spans="1:7" x14ac:dyDescent="0.2">
      <c r="A12" s="54" t="s">
        <v>18</v>
      </c>
      <c r="B12" s="59">
        <v>28.888977238570149</v>
      </c>
      <c r="C12">
        <v>-6.8466687999183644E-3</v>
      </c>
      <c r="D12" s="60">
        <v>2.941329851366262</v>
      </c>
      <c r="E12" s="59">
        <v>33.602787137404903</v>
      </c>
      <c r="F12">
        <v>-7.7882461679915221E-2</v>
      </c>
      <c r="G12" s="60">
        <v>2.5177961029030378</v>
      </c>
    </row>
    <row r="13" spans="1:7" x14ac:dyDescent="0.2">
      <c r="A13" s="54" t="s">
        <v>20</v>
      </c>
      <c r="B13" s="59">
        <v>16.537888090878266</v>
      </c>
      <c r="C13">
        <v>-4.4668430597526551E-2</v>
      </c>
      <c r="D13" s="60">
        <v>4.3805877260562536</v>
      </c>
      <c r="E13" s="59">
        <v>18.528861213955018</v>
      </c>
      <c r="F13">
        <v>-8.3184143382974599E-2</v>
      </c>
      <c r="G13" s="60">
        <v>4.423497169736522</v>
      </c>
    </row>
    <row r="14" spans="1:7" x14ac:dyDescent="0.2">
      <c r="A14" s="54" t="s">
        <v>21</v>
      </c>
      <c r="B14" s="59">
        <v>17.526345413897232</v>
      </c>
      <c r="C14">
        <v>-7.6133251313169406E-2</v>
      </c>
      <c r="D14" s="60">
        <v>4.2468487248968909</v>
      </c>
      <c r="E14" s="59">
        <v>16.362416906077616</v>
      </c>
      <c r="F14">
        <v>-7.4090001980550491E-2</v>
      </c>
      <c r="G14" s="60">
        <v>4.3465947493962869</v>
      </c>
    </row>
    <row r="15" spans="1:7" x14ac:dyDescent="0.2">
      <c r="A15" s="54" t="s">
        <v>22</v>
      </c>
      <c r="B15" s="59">
        <v>33.916470812360835</v>
      </c>
      <c r="C15">
        <v>-0.11995834790078359</v>
      </c>
      <c r="D15" s="60">
        <v>7.9489631863134731</v>
      </c>
      <c r="E15" s="59">
        <v>35.534966387279724</v>
      </c>
      <c r="F15">
        <v>-0.16542651684807455</v>
      </c>
      <c r="G15" s="60">
        <v>8.2505714355980491</v>
      </c>
    </row>
    <row r="16" spans="1:7" x14ac:dyDescent="0.2">
      <c r="A16" s="54" t="s">
        <v>74</v>
      </c>
      <c r="B16" s="59">
        <v>28.972497052139293</v>
      </c>
      <c r="C16">
        <v>-0.12924122920955833</v>
      </c>
      <c r="D16" s="60">
        <v>4.6352260833575967</v>
      </c>
      <c r="E16" s="59">
        <v>33.584657461189693</v>
      </c>
      <c r="F16">
        <v>-0.21563680939754376</v>
      </c>
      <c r="G16" s="60">
        <v>4.430001463027927</v>
      </c>
    </row>
    <row r="17" spans="1:7" x14ac:dyDescent="0.2">
      <c r="A17" s="54" t="s">
        <v>75</v>
      </c>
      <c r="B17" s="59">
        <v>15.936362209252032</v>
      </c>
      <c r="C17">
        <v>-2.9929019613481295E-2</v>
      </c>
      <c r="D17" s="60">
        <v>3.6790029410401348</v>
      </c>
      <c r="E17" s="59">
        <v>17.343208002384706</v>
      </c>
      <c r="F17">
        <v>-7.6007248637809527E-2</v>
      </c>
      <c r="G17" s="60">
        <v>3.7597471167052934</v>
      </c>
    </row>
    <row r="18" spans="1:7" x14ac:dyDescent="0.2">
      <c r="A18" s="54" t="s">
        <v>84</v>
      </c>
      <c r="B18" s="59">
        <v>18.549415272738344</v>
      </c>
      <c r="C18">
        <v>-4.4367006652726478E-2</v>
      </c>
      <c r="D18" s="60">
        <v>1.3009251089638765</v>
      </c>
      <c r="E18" s="59">
        <v>17.293935062477185</v>
      </c>
      <c r="F18">
        <v>-3.3746669388500787E-2</v>
      </c>
      <c r="G18" s="60">
        <v>1.8503882909882396</v>
      </c>
    </row>
    <row r="19" spans="1:7" x14ac:dyDescent="0.2">
      <c r="A19" s="54" t="s">
        <v>85</v>
      </c>
      <c r="B19" s="59">
        <v>17.688333761137642</v>
      </c>
      <c r="C19">
        <v>-9.4041390375291592E-2</v>
      </c>
      <c r="D19" s="60">
        <v>2.9779230815571474</v>
      </c>
      <c r="E19" s="59">
        <v>19.432182641093014</v>
      </c>
      <c r="F19">
        <v>-0.12247447310687154</v>
      </c>
      <c r="G19" s="60">
        <v>2.9819604533399153</v>
      </c>
    </row>
    <row r="20" spans="1:7" x14ac:dyDescent="0.2">
      <c r="A20" s="54" t="s">
        <v>86</v>
      </c>
      <c r="B20" s="59">
        <v>30.486007962943425</v>
      </c>
      <c r="C20">
        <v>-0.14410305575769394</v>
      </c>
      <c r="D20" s="60">
        <v>6.5881898979862985</v>
      </c>
      <c r="E20" s="59">
        <v>23.257243307716017</v>
      </c>
      <c r="F20">
        <v>-9.9312413195691021E-2</v>
      </c>
      <c r="G20" s="60">
        <v>6.0305405606507154</v>
      </c>
    </row>
    <row r="21" spans="1:7" x14ac:dyDescent="0.2">
      <c r="A21" s="54" t="s">
        <v>87</v>
      </c>
      <c r="B21" s="59">
        <v>21.985403746971173</v>
      </c>
      <c r="C21">
        <v>-9.7755275677978384E-2</v>
      </c>
      <c r="D21" s="60">
        <v>3.9232184487599562</v>
      </c>
      <c r="E21" s="59">
        <v>19.175832284491904</v>
      </c>
      <c r="F21">
        <v>-9.1106253489692077E-2</v>
      </c>
      <c r="G21" s="60">
        <v>4.3485070958436776</v>
      </c>
    </row>
    <row r="22" spans="1:7" x14ac:dyDescent="0.2">
      <c r="A22" s="54" t="s">
        <v>88</v>
      </c>
      <c r="B22" s="59">
        <v>25.891844381770106</v>
      </c>
      <c r="C22">
        <v>-0.11325150767372197</v>
      </c>
      <c r="D22" s="60">
        <v>6.5172035204105017</v>
      </c>
      <c r="E22" s="59">
        <v>19.774563154773787</v>
      </c>
      <c r="F22">
        <v>-8.5471602645045774E-2</v>
      </c>
      <c r="G22" s="60">
        <v>5.7141429071612562</v>
      </c>
    </row>
    <row r="23" spans="1:7" x14ac:dyDescent="0.2">
      <c r="A23" s="54" t="s">
        <v>89</v>
      </c>
      <c r="B23" s="59">
        <v>19.627618175005821</v>
      </c>
      <c r="C23">
        <v>-7.6356076341646498E-2</v>
      </c>
      <c r="D23" s="60">
        <v>4.2100599833863095</v>
      </c>
      <c r="E23" s="59">
        <v>19.072162923032341</v>
      </c>
      <c r="F23">
        <v>-0.1029136836863946</v>
      </c>
      <c r="G23" s="60">
        <v>4.2431177431519824</v>
      </c>
    </row>
    <row r="24" spans="1:7" x14ac:dyDescent="0.2">
      <c r="A24" s="54" t="s">
        <v>23</v>
      </c>
      <c r="B24" s="59">
        <v>10.454778402157821</v>
      </c>
      <c r="C24">
        <v>0.78323576407324891</v>
      </c>
      <c r="D24" s="60">
        <v>48.119319676511473</v>
      </c>
      <c r="E24" s="59">
        <v>-31.072394436734555</v>
      </c>
      <c r="F24">
        <v>2.0574958566722703</v>
      </c>
      <c r="G24" s="60">
        <v>70.968909842640088</v>
      </c>
    </row>
    <row r="25" spans="1:7" x14ac:dyDescent="0.2">
      <c r="A25" s="54" t="s">
        <v>24</v>
      </c>
      <c r="B25" s="59">
        <v>3.8579100346042452</v>
      </c>
      <c r="C25">
        <v>-1.0987168872607707E-2</v>
      </c>
      <c r="D25" s="60">
        <v>1.3930344449776986</v>
      </c>
      <c r="E25" s="59">
        <v>2.9667434751841579</v>
      </c>
      <c r="F25">
        <v>6.6345037632193019E-3</v>
      </c>
      <c r="G25" s="60">
        <v>1.5260063982701244</v>
      </c>
    </row>
    <row r="26" spans="1:7" x14ac:dyDescent="0.2">
      <c r="A26" s="54" t="s">
        <v>25</v>
      </c>
      <c r="B26" s="59">
        <v>9.2674893163786241</v>
      </c>
      <c r="C26">
        <v>-1.4274763059039543E-2</v>
      </c>
      <c r="D26" s="60">
        <v>7.6164776136818908</v>
      </c>
      <c r="E26" s="59">
        <v>16.77497181215228</v>
      </c>
      <c r="F26">
        <v>-0.1490475216290201</v>
      </c>
      <c r="G26" s="60">
        <v>7.5080406253577969</v>
      </c>
    </row>
    <row r="27" spans="1:7" x14ac:dyDescent="0.2">
      <c r="A27" s="54" t="s">
        <v>26</v>
      </c>
      <c r="B27" s="59">
        <v>1.3788597943445478</v>
      </c>
      <c r="C27">
        <v>1.8237144415461762E-2</v>
      </c>
      <c r="D27" s="60">
        <v>2.4734388070975997</v>
      </c>
      <c r="E27" s="59">
        <v>0.41121416645947995</v>
      </c>
      <c r="F27">
        <v>4.4407565806464294E-2</v>
      </c>
      <c r="G27" s="60">
        <v>3.0374787905571394</v>
      </c>
    </row>
    <row r="28" spans="1:7" x14ac:dyDescent="0.2">
      <c r="A28" s="54" t="s">
        <v>90</v>
      </c>
      <c r="B28" s="59">
        <v>75.074417175501267</v>
      </c>
      <c r="C28">
        <v>0.19636398438378747</v>
      </c>
      <c r="D28" s="60">
        <v>18.985406074162221</v>
      </c>
      <c r="E28" s="59">
        <v>80.882273667495028</v>
      </c>
      <c r="F28">
        <v>5.5451508347890872E-2</v>
      </c>
      <c r="G28" s="60">
        <v>20.711367893447157</v>
      </c>
    </row>
    <row r="29" spans="1:7" x14ac:dyDescent="0.2">
      <c r="A29" s="54" t="s">
        <v>91</v>
      </c>
      <c r="B29" s="59">
        <v>100.365203255902</v>
      </c>
      <c r="C29">
        <v>-0.40850931429678733</v>
      </c>
      <c r="D29" s="60">
        <v>18.24547726294832</v>
      </c>
      <c r="E29" s="59">
        <v>118.10150669254045</v>
      </c>
      <c r="F29">
        <v>-0.64831233261515619</v>
      </c>
      <c r="G29" s="60">
        <v>19.255889714446369</v>
      </c>
    </row>
    <row r="30" spans="1:7" ht="16" thickBot="1" x14ac:dyDescent="0.25">
      <c r="A30" s="55" t="s">
        <v>27</v>
      </c>
      <c r="B30" s="61">
        <v>-22.530784685948021</v>
      </c>
      <c r="C30" s="65">
        <v>0.56007837603008315</v>
      </c>
      <c r="D30" s="62">
        <v>26.169669133411393</v>
      </c>
      <c r="E30" s="61">
        <v>-35.781815130633838</v>
      </c>
      <c r="F30" s="65">
        <v>0.68595341584608727</v>
      </c>
      <c r="G30" s="62">
        <v>26.849129682759735</v>
      </c>
    </row>
    <row r="34" spans="1:1" x14ac:dyDescent="0.2">
      <c r="A34" s="52" t="s">
        <v>73</v>
      </c>
    </row>
  </sheetData>
  <sheetProtection algorithmName="SHA-512" hashValue="vS9WEV5uskXjsSB3v0AYSRJlLQmaa/jT7g/J5AZhujHGLgeThRt5S1SItmHNhSY28VPN+6Z1F5Bei3ZXCrQCrw==" saltValue="Mkaoy4zutVdQ9QCh6SfQ7w==" spinCount="100000" sheet="1" objects="1" scenarios="1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4"/>
  <sheetViews>
    <sheetView workbookViewId="0">
      <selection activeCell="K25" sqref="K25"/>
    </sheetView>
  </sheetViews>
  <sheetFormatPr baseColWidth="10" defaultColWidth="8.83203125" defaultRowHeight="15" x14ac:dyDescent="0.2"/>
  <cols>
    <col min="1" max="1" width="39.33203125" bestFit="1" customWidth="1"/>
    <col min="2" max="2" width="15" customWidth="1"/>
    <col min="3" max="4" width="13" customWidth="1"/>
    <col min="5" max="5" width="15" customWidth="1"/>
    <col min="6" max="7" width="13" customWidth="1"/>
  </cols>
  <sheetData>
    <row r="1" spans="1:7" x14ac:dyDescent="0.2">
      <c r="A1" s="63"/>
      <c r="B1" s="56" t="s">
        <v>72</v>
      </c>
      <c r="C1" s="64"/>
      <c r="D1" s="58"/>
      <c r="E1" s="56" t="s">
        <v>71</v>
      </c>
      <c r="F1" s="64"/>
      <c r="G1" s="58"/>
    </row>
    <row r="2" spans="1:7" s="1" customFormat="1" ht="16" thickBot="1" x14ac:dyDescent="0.25">
      <c r="A2" s="55" t="s">
        <v>0</v>
      </c>
      <c r="B2" s="57" t="s">
        <v>29</v>
      </c>
      <c r="C2" s="68" t="s">
        <v>31</v>
      </c>
      <c r="D2" s="69" t="s">
        <v>33</v>
      </c>
      <c r="E2" s="57" t="s">
        <v>1</v>
      </c>
      <c r="F2" s="68" t="s">
        <v>3</v>
      </c>
      <c r="G2" s="69" t="s">
        <v>5</v>
      </c>
    </row>
    <row r="3" spans="1:7" x14ac:dyDescent="0.2">
      <c r="A3" s="54" t="s">
        <v>19</v>
      </c>
      <c r="B3" s="59">
        <v>17.740166467972863</v>
      </c>
      <c r="C3">
        <v>0.45868920059861723</v>
      </c>
      <c r="D3" s="60">
        <v>2.9671855778250684</v>
      </c>
      <c r="E3" s="59">
        <v>15.5023001221423</v>
      </c>
      <c r="F3">
        <v>0.56238752065822128</v>
      </c>
      <c r="G3" s="60">
        <v>3.815499630861293</v>
      </c>
    </row>
    <row r="4" spans="1:7" x14ac:dyDescent="0.2">
      <c r="A4" s="54" t="s">
        <v>76</v>
      </c>
      <c r="B4" s="59">
        <v>3.0237959064034792</v>
      </c>
      <c r="C4">
        <v>0.25970316778312397</v>
      </c>
      <c r="D4" s="60">
        <v>2.2875520302031962</v>
      </c>
      <c r="E4" s="59">
        <v>3.5494263816822951</v>
      </c>
      <c r="F4">
        <v>0.12202599133622134</v>
      </c>
      <c r="G4" s="60">
        <v>1.6218511611802264</v>
      </c>
    </row>
    <row r="5" spans="1:7" x14ac:dyDescent="0.2">
      <c r="A5" s="54" t="s">
        <v>77</v>
      </c>
      <c r="B5" s="59">
        <v>3.9511642371512101</v>
      </c>
      <c r="C5">
        <v>0.12947804142210664</v>
      </c>
      <c r="D5" s="60">
        <v>1.2743238757027109</v>
      </c>
      <c r="E5" s="59">
        <v>4.0638882277336119</v>
      </c>
      <c r="F5">
        <v>7.2109296901033029E-2</v>
      </c>
      <c r="G5" s="60">
        <v>0.95904780632459274</v>
      </c>
    </row>
    <row r="6" spans="1:7" x14ac:dyDescent="0.2">
      <c r="A6" s="54" t="s">
        <v>78</v>
      </c>
      <c r="B6" s="59">
        <v>3.2791202270566284</v>
      </c>
      <c r="C6">
        <v>0.18926270938038417</v>
      </c>
      <c r="D6" s="60">
        <v>2.043501054495557</v>
      </c>
      <c r="E6" s="59">
        <v>2.9211260792802385</v>
      </c>
      <c r="F6">
        <v>0.13076885868382226</v>
      </c>
      <c r="G6" s="60">
        <v>1.6131550198824107</v>
      </c>
    </row>
    <row r="7" spans="1:7" x14ac:dyDescent="0.2">
      <c r="A7" s="54" t="s">
        <v>79</v>
      </c>
      <c r="B7" s="59">
        <v>2.8286530308771254</v>
      </c>
      <c r="C7">
        <v>0.10997876705963112</v>
      </c>
      <c r="D7" s="60">
        <v>1.2010203579050414</v>
      </c>
      <c r="E7" s="59">
        <v>2.8055215614192082</v>
      </c>
      <c r="F7">
        <v>6.9169468159721387E-2</v>
      </c>
      <c r="G7" s="60">
        <v>1.0316988266572553</v>
      </c>
    </row>
    <row r="8" spans="1:7" x14ac:dyDescent="0.2">
      <c r="A8" s="54" t="s">
        <v>93</v>
      </c>
      <c r="B8" s="59">
        <v>44.327071191625194</v>
      </c>
      <c r="C8">
        <v>-0.73305163265465911</v>
      </c>
      <c r="D8" s="60">
        <v>12.538044895475387</v>
      </c>
      <c r="E8" s="59">
        <v>85.867858535895365</v>
      </c>
      <c r="F8">
        <v>-2.6813660775900856</v>
      </c>
      <c r="G8" s="60">
        <v>28.179518400036656</v>
      </c>
    </row>
    <row r="9" spans="1:7" x14ac:dyDescent="0.2">
      <c r="A9" s="54" t="s">
        <v>81</v>
      </c>
      <c r="B9" s="59">
        <v>0.56838484066327322</v>
      </c>
      <c r="C9">
        <v>1.6423309931711916E-2</v>
      </c>
      <c r="D9" s="60">
        <v>0.28638838103485681</v>
      </c>
      <c r="E9" s="59">
        <v>0.29752976295982519</v>
      </c>
      <c r="F9">
        <v>2.2190555284492961E-2</v>
      </c>
      <c r="G9" s="60">
        <v>0.23366559029939191</v>
      </c>
    </row>
    <row r="10" spans="1:7" x14ac:dyDescent="0.2">
      <c r="A10" s="54" t="s">
        <v>92</v>
      </c>
      <c r="B10" s="59">
        <v>182.813319011815</v>
      </c>
      <c r="C10">
        <v>-5.4804296455424124</v>
      </c>
      <c r="D10" s="60">
        <v>51.791858221766908</v>
      </c>
      <c r="E10" s="59">
        <v>282.63231076585754</v>
      </c>
      <c r="F10">
        <v>-9.45613304894942</v>
      </c>
      <c r="G10" s="60">
        <v>75.186762930114512</v>
      </c>
    </row>
    <row r="11" spans="1:7" x14ac:dyDescent="0.2">
      <c r="A11" s="54" t="s">
        <v>83</v>
      </c>
      <c r="B11" s="59">
        <v>0.1155026238047436</v>
      </c>
      <c r="C11">
        <v>1.1848824731154391E-2</v>
      </c>
      <c r="D11" s="60">
        <v>0.1220380624206146</v>
      </c>
      <c r="E11" s="59">
        <v>2.5962320345537443E-2</v>
      </c>
      <c r="F11">
        <v>1.333439458516663E-2</v>
      </c>
      <c r="G11" s="60">
        <v>0.10416637204643819</v>
      </c>
    </row>
    <row r="12" spans="1:7" x14ac:dyDescent="0.2">
      <c r="A12" s="54" t="s">
        <v>18</v>
      </c>
      <c r="B12" s="59">
        <v>24.667542368889261</v>
      </c>
      <c r="C12">
        <v>0.2421250212886229</v>
      </c>
      <c r="D12" s="60">
        <v>2.8729812034038389</v>
      </c>
      <c r="E12" s="59">
        <v>26.304535509133444</v>
      </c>
      <c r="F12">
        <v>0.15221226661958598</v>
      </c>
      <c r="G12" s="60">
        <v>2.4791593775064609</v>
      </c>
    </row>
    <row r="13" spans="1:7" x14ac:dyDescent="0.2">
      <c r="A13" s="54" t="s">
        <v>20</v>
      </c>
      <c r="B13" s="59">
        <v>6.0374188326815155</v>
      </c>
      <c r="C13">
        <v>0.47803723513296903</v>
      </c>
      <c r="D13" s="60">
        <v>4.2186072335140565</v>
      </c>
      <c r="E13" s="59">
        <v>9.0015296295778136</v>
      </c>
      <c r="F13">
        <v>0.31554905773885306</v>
      </c>
      <c r="G13" s="60">
        <v>4.1763548942205695</v>
      </c>
    </row>
    <row r="14" spans="1:7" x14ac:dyDescent="0.2">
      <c r="A14" s="54" t="s">
        <v>21</v>
      </c>
      <c r="B14" s="59">
        <v>4.217598964892078</v>
      </c>
      <c r="C14">
        <v>0.51685644533069808</v>
      </c>
      <c r="D14" s="60">
        <v>4.0805836593037332</v>
      </c>
      <c r="E14" s="59">
        <v>7.4613123740959653</v>
      </c>
      <c r="F14">
        <v>0.32340411479145359</v>
      </c>
      <c r="G14" s="60">
        <v>4.0762725597898237</v>
      </c>
    </row>
    <row r="15" spans="1:7" x14ac:dyDescent="0.2">
      <c r="A15" s="54" t="s">
        <v>22</v>
      </c>
      <c r="B15" s="59">
        <v>10.515120675395586</v>
      </c>
      <c r="C15">
        <v>0.9725271479361095</v>
      </c>
      <c r="D15" s="60">
        <v>7.605365361570696</v>
      </c>
      <c r="E15" s="59">
        <v>16.286981275387202</v>
      </c>
      <c r="F15">
        <v>0.6649529407879532</v>
      </c>
      <c r="G15" s="60">
        <v>7.6632635404921094</v>
      </c>
    </row>
    <row r="16" spans="1:7" x14ac:dyDescent="0.2">
      <c r="A16" s="54" t="s">
        <v>74</v>
      </c>
      <c r="B16" s="59">
        <v>12.374809034229326</v>
      </c>
      <c r="C16">
        <v>0.48699368264585641</v>
      </c>
      <c r="D16" s="60">
        <v>4.5907389689690028</v>
      </c>
      <c r="E16" s="59">
        <v>13.838575869888054</v>
      </c>
      <c r="F16">
        <v>0.36812534970109762</v>
      </c>
      <c r="G16" s="60">
        <v>4.3712058618504948</v>
      </c>
    </row>
    <row r="17" spans="1:7" x14ac:dyDescent="0.2">
      <c r="A17" s="54" t="s">
        <v>75</v>
      </c>
      <c r="B17" s="59">
        <v>11.020514518634155</v>
      </c>
      <c r="C17">
        <v>0.18282520084833276</v>
      </c>
      <c r="D17" s="60">
        <v>3.6570420519250311</v>
      </c>
      <c r="E17" s="59">
        <v>10.531431082891693</v>
      </c>
      <c r="F17">
        <v>0.11711342669636533</v>
      </c>
      <c r="G17" s="60">
        <v>3.7625632016863695</v>
      </c>
    </row>
    <row r="18" spans="1:7" x14ac:dyDescent="0.2">
      <c r="A18" s="54" t="s">
        <v>84</v>
      </c>
      <c r="B18" s="59">
        <v>14.500289292902956</v>
      </c>
      <c r="C18">
        <v>6.0295160251969876E-2</v>
      </c>
      <c r="D18" s="60">
        <v>1.3430803307615078</v>
      </c>
      <c r="E18" s="59">
        <v>13.608879721579068</v>
      </c>
      <c r="F18">
        <v>0.11233471163889992</v>
      </c>
      <c r="G18" s="60">
        <v>1.7818622065163501</v>
      </c>
    </row>
    <row r="19" spans="1:7" x14ac:dyDescent="0.2">
      <c r="A19" s="54" t="s">
        <v>85</v>
      </c>
      <c r="B19" s="59">
        <v>8.463781343459944</v>
      </c>
      <c r="C19">
        <v>0.16952564113011656</v>
      </c>
      <c r="D19" s="60">
        <v>3.0473087677789805</v>
      </c>
      <c r="E19" s="59">
        <v>8.0848476242280114</v>
      </c>
      <c r="F19">
        <v>0.22519531344016408</v>
      </c>
      <c r="G19" s="60">
        <v>2.928476364971901</v>
      </c>
    </row>
    <row r="20" spans="1:7" x14ac:dyDescent="0.2">
      <c r="A20" s="54" t="s">
        <v>86</v>
      </c>
      <c r="B20" s="59">
        <v>10.689452161541904</v>
      </c>
      <c r="C20">
        <v>0.62967821729090701</v>
      </c>
      <c r="D20" s="60">
        <v>6.4848973716147924</v>
      </c>
      <c r="E20" s="59">
        <v>11.985833293664015</v>
      </c>
      <c r="F20">
        <v>0.3703265578140621</v>
      </c>
      <c r="G20" s="60">
        <v>5.7876403043738343</v>
      </c>
    </row>
    <row r="21" spans="1:7" x14ac:dyDescent="0.2">
      <c r="A21" s="54" t="s">
        <v>87</v>
      </c>
      <c r="B21" s="59">
        <v>8.1235049364798968</v>
      </c>
      <c r="C21">
        <v>0.45516060538902103</v>
      </c>
      <c r="D21" s="60">
        <v>3.8211012175120365</v>
      </c>
      <c r="E21" s="59">
        <v>9.3776979102204052</v>
      </c>
      <c r="F21">
        <v>0.29080306564478486</v>
      </c>
      <c r="G21" s="60">
        <v>4.1575120166805517</v>
      </c>
    </row>
    <row r="22" spans="1:7" x14ac:dyDescent="0.2">
      <c r="A22" s="54" t="s">
        <v>88</v>
      </c>
      <c r="B22" s="59">
        <v>11.773051559076507</v>
      </c>
      <c r="C22">
        <v>0.40174417977140192</v>
      </c>
      <c r="D22" s="60">
        <v>6.4968591696174807</v>
      </c>
      <c r="E22" s="59">
        <v>9.4836768696148894</v>
      </c>
      <c r="F22">
        <v>0.37200933022325899</v>
      </c>
      <c r="G22" s="60">
        <v>5.4388398225718824</v>
      </c>
    </row>
    <row r="23" spans="1:7" x14ac:dyDescent="0.2">
      <c r="A23" s="54" t="s">
        <v>89</v>
      </c>
      <c r="B23" s="59">
        <v>8.9133953401917285</v>
      </c>
      <c r="C23">
        <v>0.34819162549954674</v>
      </c>
      <c r="D23" s="60">
        <v>4.156619802002834</v>
      </c>
      <c r="E23" s="59">
        <v>8.6558528109677706</v>
      </c>
      <c r="F23">
        <v>0.26966011329556827</v>
      </c>
      <c r="G23" s="60">
        <v>4.1028844008634353</v>
      </c>
    </row>
    <row r="24" spans="1:7" x14ac:dyDescent="0.2">
      <c r="A24" s="54" t="s">
        <v>23</v>
      </c>
      <c r="B24" s="59">
        <v>139.91458109559599</v>
      </c>
      <c r="C24">
        <v>-4.8275671321159948</v>
      </c>
      <c r="D24" s="60">
        <v>46.935638656378785</v>
      </c>
      <c r="E24" s="59">
        <v>209.18874097295731</v>
      </c>
      <c r="F24">
        <v>-7.6415145013805548</v>
      </c>
      <c r="G24" s="60">
        <v>63.324921655168225</v>
      </c>
    </row>
    <row r="25" spans="1:7" x14ac:dyDescent="0.2">
      <c r="A25" s="54" t="s">
        <v>24</v>
      </c>
      <c r="B25" s="59">
        <v>4.7247740322716698</v>
      </c>
      <c r="C25">
        <v>-0.10628656589967976</v>
      </c>
      <c r="D25" s="60">
        <v>1.3690450003974475</v>
      </c>
      <c r="E25" s="59">
        <v>4.6063130224622926</v>
      </c>
      <c r="F25">
        <v>-9.5637470919040291E-2</v>
      </c>
      <c r="G25" s="60">
        <v>1.4594121294639339</v>
      </c>
    </row>
    <row r="26" spans="1:7" x14ac:dyDescent="0.2">
      <c r="A26" s="54" t="s">
        <v>25</v>
      </c>
      <c r="B26" s="59">
        <v>13.055052206538853</v>
      </c>
      <c r="C26">
        <v>-0.3118258397417063</v>
      </c>
      <c r="D26" s="60">
        <v>7.5744064468013699</v>
      </c>
      <c r="E26" s="59">
        <v>7.9142611383643562</v>
      </c>
      <c r="F26">
        <v>-0.17531348699684149</v>
      </c>
      <c r="G26" s="60">
        <v>7.5563433832999811</v>
      </c>
    </row>
    <row r="27" spans="1:7" x14ac:dyDescent="0.2">
      <c r="A27" s="54" t="s">
        <v>26</v>
      </c>
      <c r="B27" s="59">
        <v>4.1821602422953896</v>
      </c>
      <c r="C27">
        <v>-9.8703877120014091E-2</v>
      </c>
      <c r="D27" s="60">
        <v>2.4646777260772605</v>
      </c>
      <c r="E27" s="59">
        <v>5.3081729597093252</v>
      </c>
      <c r="F27">
        <v>-0.14610974353327957</v>
      </c>
      <c r="G27" s="60">
        <v>2.980995374341481</v>
      </c>
    </row>
    <row r="28" spans="1:7" x14ac:dyDescent="0.2">
      <c r="A28" s="54" t="s">
        <v>90</v>
      </c>
      <c r="B28" s="59">
        <v>99.547548424019965</v>
      </c>
      <c r="C28">
        <v>-0.69611514231846661</v>
      </c>
      <c r="D28" s="60">
        <v>18.964548004709009</v>
      </c>
      <c r="E28" s="59">
        <v>82.086248646646851</v>
      </c>
      <c r="F28">
        <v>0.252692158625761</v>
      </c>
      <c r="G28" s="60">
        <v>20.676669321175073</v>
      </c>
    </row>
    <row r="29" spans="1:7" x14ac:dyDescent="0.2">
      <c r="A29" s="54" t="s">
        <v>91</v>
      </c>
      <c r="B29" s="59">
        <v>58.922640506544155</v>
      </c>
      <c r="C29">
        <v>0.82556533579389968</v>
      </c>
      <c r="D29" s="60">
        <v>18.435234062333706</v>
      </c>
      <c r="E29" s="59">
        <v>60.311527175010681</v>
      </c>
      <c r="F29">
        <v>0.9870565637996499</v>
      </c>
      <c r="G29" s="60">
        <v>19.323282263766707</v>
      </c>
    </row>
    <row r="30" spans="1:7" ht="16" thickBot="1" x14ac:dyDescent="0.25">
      <c r="A30" s="55" t="s">
        <v>27</v>
      </c>
      <c r="B30" s="61">
        <v>41.414127731733977</v>
      </c>
      <c r="C30" s="65">
        <v>-1.6070257344765135</v>
      </c>
      <c r="D30" s="62">
        <v>26.222750144751473</v>
      </c>
      <c r="E30" s="61">
        <v>22.247634101970064</v>
      </c>
      <c r="F30" s="65">
        <v>-0.76378611743005198</v>
      </c>
      <c r="G30" s="62">
        <v>27.144030775860095</v>
      </c>
    </row>
    <row r="34" spans="1:1" x14ac:dyDescent="0.2">
      <c r="A34" s="52" t="s">
        <v>73</v>
      </c>
    </row>
  </sheetData>
  <sheetProtection algorithmName="SHA-512" hashValue="UtPXmh14MulCb4xeq4ag0GyFfd4m7QpV3PMx7YHyHXSBUhgCw+9hLTrkcPMRrlAiuaiLphcivCOvihs1pBWOJw==" saltValue="FR0ekPh8Uyl/3GCw2m6qgQ==" spinCount="100000" sheet="1" objects="1" scenarios="1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4"/>
  <sheetViews>
    <sheetView workbookViewId="0">
      <selection activeCell="J13" sqref="J13"/>
    </sheetView>
  </sheetViews>
  <sheetFormatPr baseColWidth="10" defaultColWidth="8.83203125" defaultRowHeight="15" x14ac:dyDescent="0.2"/>
  <cols>
    <col min="1" max="1" width="39.33203125" bestFit="1" customWidth="1"/>
    <col min="2" max="2" width="15" customWidth="1"/>
    <col min="3" max="3" width="13" customWidth="1"/>
    <col min="4" max="4" width="15" customWidth="1"/>
    <col min="5" max="5" width="13" customWidth="1"/>
  </cols>
  <sheetData>
    <row r="1" spans="1:5" x14ac:dyDescent="0.2">
      <c r="A1" s="63"/>
      <c r="B1" s="66" t="s">
        <v>72</v>
      </c>
      <c r="C1" s="64"/>
      <c r="D1" s="56" t="s">
        <v>71</v>
      </c>
      <c r="E1" s="58"/>
    </row>
    <row r="2" spans="1:5" ht="16" thickBot="1" x14ac:dyDescent="0.25">
      <c r="A2" s="55" t="s">
        <v>0</v>
      </c>
      <c r="B2" s="68" t="s">
        <v>29</v>
      </c>
      <c r="C2" s="68" t="s">
        <v>33</v>
      </c>
      <c r="D2" s="57" t="s">
        <v>1</v>
      </c>
      <c r="E2" s="69" t="s">
        <v>5</v>
      </c>
    </row>
    <row r="3" spans="1:5" x14ac:dyDescent="0.2">
      <c r="A3" s="54" t="s">
        <v>19</v>
      </c>
      <c r="B3">
        <v>24.831683168316832</v>
      </c>
      <c r="C3">
        <v>3.1922459129537573</v>
      </c>
      <c r="D3" s="59">
        <v>21.735955056179776</v>
      </c>
      <c r="E3" s="60">
        <v>4.7613022761845629</v>
      </c>
    </row>
    <row r="4" spans="1:5" x14ac:dyDescent="0.2">
      <c r="A4" s="54" t="s">
        <v>76</v>
      </c>
      <c r="B4">
        <v>7.0344827586206895</v>
      </c>
      <c r="C4">
        <v>2.3805717558188109</v>
      </c>
      <c r="D4" s="59">
        <v>4.9010989010989015</v>
      </c>
      <c r="E4" s="60">
        <v>1.7308059953326502</v>
      </c>
    </row>
    <row r="5" spans="1:5" x14ac:dyDescent="0.2">
      <c r="A5" s="54" t="s">
        <v>77</v>
      </c>
      <c r="B5">
        <v>5.9507389162561575</v>
      </c>
      <c r="C5">
        <v>1.3153838222415013</v>
      </c>
      <c r="D5" s="59">
        <v>4.8626373626373631</v>
      </c>
      <c r="E5" s="60">
        <v>1.0233892722587143</v>
      </c>
    </row>
    <row r="6" spans="1:5" x14ac:dyDescent="0.2">
      <c r="A6" s="54" t="s">
        <v>78</v>
      </c>
      <c r="B6">
        <v>6.2019704433497536</v>
      </c>
      <c r="C6">
        <v>2.0975223618660235</v>
      </c>
      <c r="D6" s="59">
        <v>4.3646408839779003</v>
      </c>
      <c r="E6" s="60">
        <v>1.7383480371021771</v>
      </c>
    </row>
    <row r="7" spans="1:5" x14ac:dyDescent="0.2">
      <c r="A7" s="54" t="s">
        <v>79</v>
      </c>
      <c r="B7">
        <v>4.527093596059113</v>
      </c>
      <c r="C7">
        <v>1.2320010793474336</v>
      </c>
      <c r="D7" s="59">
        <v>3.569060773480663</v>
      </c>
      <c r="E7" s="60">
        <v>1.0862441416067354</v>
      </c>
    </row>
    <row r="8" spans="1:5" x14ac:dyDescent="0.2">
      <c r="A8" s="54" t="s">
        <v>93</v>
      </c>
      <c r="B8">
        <v>33.049586776859506</v>
      </c>
      <c r="C8">
        <v>12.652293013550436</v>
      </c>
      <c r="D8" s="59">
        <v>55.280423280423278</v>
      </c>
      <c r="E8" s="60">
        <v>31.284056979497986</v>
      </c>
    </row>
    <row r="9" spans="1:5" x14ac:dyDescent="0.2">
      <c r="A9" s="54" t="s">
        <v>81</v>
      </c>
      <c r="B9">
        <v>0.82104592692675793</v>
      </c>
      <c r="C9">
        <v>0.28887705187748558</v>
      </c>
      <c r="D9" s="59">
        <v>0.55066646768663341</v>
      </c>
      <c r="E9" s="60">
        <v>0.25931084985037123</v>
      </c>
    </row>
    <row r="10" spans="1:5" x14ac:dyDescent="0.2">
      <c r="A10" s="54" t="s">
        <v>92</v>
      </c>
      <c r="B10">
        <v>98.313807531380746</v>
      </c>
      <c r="C10">
        <v>53.551493495605328</v>
      </c>
      <c r="D10" s="59">
        <v>167.44444444444443</v>
      </c>
      <c r="E10" s="60">
        <v>87.053202874558039</v>
      </c>
    </row>
    <row r="11" spans="1:5" x14ac:dyDescent="0.2">
      <c r="A11" s="54" t="s">
        <v>83</v>
      </c>
      <c r="B11">
        <v>0.29819266202358841</v>
      </c>
      <c r="C11">
        <v>0.12549844486622377</v>
      </c>
      <c r="D11" s="59">
        <v>0.18839240175432151</v>
      </c>
      <c r="E11" s="60">
        <v>0.12116582237690865</v>
      </c>
    </row>
    <row r="12" spans="1:5" x14ac:dyDescent="0.2">
      <c r="A12" s="54" t="s">
        <v>18</v>
      </c>
      <c r="B12">
        <v>28.410891089108912</v>
      </c>
      <c r="C12">
        <v>2.934522632832588</v>
      </c>
      <c r="D12" s="59">
        <v>27.983146067415731</v>
      </c>
      <c r="E12" s="60">
        <v>2.5873982287933592</v>
      </c>
    </row>
    <row r="13" spans="1:5" x14ac:dyDescent="0.2">
      <c r="A13" s="54" t="s">
        <v>20</v>
      </c>
      <c r="B13">
        <v>13.390756302521007</v>
      </c>
      <c r="C13">
        <v>4.3867174197743468</v>
      </c>
      <c r="D13" s="59">
        <v>12.519125683060109</v>
      </c>
      <c r="E13" s="60">
        <v>4.4621011288536465</v>
      </c>
    </row>
    <row r="14" spans="1:5" x14ac:dyDescent="0.2">
      <c r="A14" s="54" t="s">
        <v>21</v>
      </c>
      <c r="B14">
        <v>12.168067226890756</v>
      </c>
      <c r="C14">
        <v>4.2848360385571373</v>
      </c>
      <c r="D14" s="59">
        <v>11.005747126436782</v>
      </c>
      <c r="E14" s="60">
        <v>4.3761005240918553</v>
      </c>
    </row>
    <row r="15" spans="1:5" x14ac:dyDescent="0.2">
      <c r="A15" s="54" t="s">
        <v>22</v>
      </c>
      <c r="B15">
        <v>25.464135021097043</v>
      </c>
      <c r="C15">
        <v>7.9933619567440211</v>
      </c>
      <c r="D15" s="59">
        <v>23.574712643678161</v>
      </c>
      <c r="E15" s="60">
        <v>8.3370226369334581</v>
      </c>
    </row>
    <row r="16" spans="1:5" x14ac:dyDescent="0.2">
      <c r="A16" s="54" t="s">
        <v>74</v>
      </c>
      <c r="B16">
        <v>19.860082304526749</v>
      </c>
      <c r="C16">
        <v>4.7487461582866901</v>
      </c>
      <c r="D16" s="59">
        <v>18.020942408376964</v>
      </c>
      <c r="E16" s="60">
        <v>4.7494687959848907</v>
      </c>
    </row>
    <row r="17" spans="1:5" x14ac:dyDescent="0.2">
      <c r="A17" s="54" t="s">
        <v>75</v>
      </c>
      <c r="B17">
        <v>13.829166666666666</v>
      </c>
      <c r="C17">
        <v>3.6796374169506372</v>
      </c>
      <c r="D17" s="59">
        <v>11.857894736842105</v>
      </c>
      <c r="E17" s="60">
        <v>3.8000021984780177</v>
      </c>
    </row>
    <row r="18" spans="1:5" x14ac:dyDescent="0.2">
      <c r="A18" s="54" t="s">
        <v>84</v>
      </c>
      <c r="B18">
        <v>15.427966101694915</v>
      </c>
      <c r="C18">
        <v>1.3491927038186651</v>
      </c>
      <c r="D18" s="59">
        <v>14.85635359116022</v>
      </c>
      <c r="E18" s="60">
        <v>1.8652750666533682</v>
      </c>
    </row>
    <row r="19" spans="1:5" x14ac:dyDescent="0.2">
      <c r="A19" s="54" t="s">
        <v>85</v>
      </c>
      <c r="B19">
        <v>11.072033898305085</v>
      </c>
      <c r="C19">
        <v>3.0720257532503288</v>
      </c>
      <c r="D19" s="59">
        <v>10.585635359116022</v>
      </c>
      <c r="E19" s="60">
        <v>3.1339739167298108</v>
      </c>
    </row>
    <row r="20" spans="1:5" x14ac:dyDescent="0.2">
      <c r="A20" s="54" t="s">
        <v>86</v>
      </c>
      <c r="B20">
        <v>20.413793103448278</v>
      </c>
      <c r="C20">
        <v>6.6746310682745538</v>
      </c>
      <c r="D20" s="59">
        <v>16.087912087912088</v>
      </c>
      <c r="E20" s="60">
        <v>6.0671169696751743</v>
      </c>
    </row>
    <row r="21" spans="1:5" x14ac:dyDescent="0.2">
      <c r="A21" s="54" t="s">
        <v>87</v>
      </c>
      <c r="B21">
        <v>15.152709359605911</v>
      </c>
      <c r="C21">
        <v>3.9927322649862789</v>
      </c>
      <c r="D21" s="59">
        <v>12.5989010989011</v>
      </c>
      <c r="E21" s="60">
        <v>4.3984677016844405</v>
      </c>
    </row>
    <row r="22" spans="1:5" x14ac:dyDescent="0.2">
      <c r="A22" s="54" t="s">
        <v>88</v>
      </c>
      <c r="B22">
        <v>17.980198019801982</v>
      </c>
      <c r="C22">
        <v>6.5653700232875378</v>
      </c>
      <c r="D22" s="59">
        <v>13.604395604395606</v>
      </c>
      <c r="E22" s="60">
        <v>5.7400004252009023</v>
      </c>
    </row>
    <row r="23" spans="1:5" x14ac:dyDescent="0.2">
      <c r="A23" s="54" t="s">
        <v>89</v>
      </c>
      <c r="B23">
        <v>14.290640394088671</v>
      </c>
      <c r="C23">
        <v>4.2448875579860061</v>
      </c>
      <c r="D23" s="59">
        <v>11.642857142857144</v>
      </c>
      <c r="E23" s="60">
        <v>4.3122501300248048</v>
      </c>
    </row>
    <row r="24" spans="1:5" x14ac:dyDescent="0.2">
      <c r="A24" s="54" t="s">
        <v>23</v>
      </c>
      <c r="B24">
        <v>65.481171548117146</v>
      </c>
      <c r="C24">
        <v>48.438372232188627</v>
      </c>
      <c r="D24" s="59">
        <v>116.10526315789473</v>
      </c>
      <c r="E24" s="60">
        <v>72.562999210955752</v>
      </c>
    </row>
    <row r="25" spans="1:5" x14ac:dyDescent="0.2">
      <c r="A25" s="54" t="s">
        <v>24</v>
      </c>
      <c r="B25">
        <v>3.086004177291251</v>
      </c>
      <c r="C25">
        <v>1.392970983323264</v>
      </c>
      <c r="D25" s="59">
        <v>3.4413255843081343</v>
      </c>
      <c r="E25" s="60">
        <v>1.5223942994678865</v>
      </c>
    </row>
    <row r="26" spans="1:5" x14ac:dyDescent="0.2">
      <c r="A26" s="54" t="s">
        <v>25</v>
      </c>
      <c r="B26">
        <v>8.2627118644067803</v>
      </c>
      <c r="C26">
        <v>7.6011510506862043</v>
      </c>
      <c r="D26" s="59">
        <v>6</v>
      </c>
      <c r="E26" s="60">
        <v>7.5851752597372615</v>
      </c>
    </row>
    <row r="27" spans="1:5" x14ac:dyDescent="0.2">
      <c r="A27" s="54" t="s">
        <v>26</v>
      </c>
      <c r="B27">
        <v>2.6594827586206895</v>
      </c>
      <c r="C27">
        <v>2.4724447983901947</v>
      </c>
      <c r="D27" s="59">
        <v>3.5909090909090913</v>
      </c>
      <c r="E27" s="60">
        <v>3.0477970965942465</v>
      </c>
    </row>
    <row r="28" spans="1:5" x14ac:dyDescent="0.2">
      <c r="A28" s="54" t="s">
        <v>90</v>
      </c>
      <c r="B28">
        <v>88.792224863743115</v>
      </c>
      <c r="C28">
        <v>19.004790647732563</v>
      </c>
      <c r="D28" s="59">
        <v>84.885300249886029</v>
      </c>
      <c r="E28" s="60">
        <v>20.65893030692941</v>
      </c>
    </row>
    <row r="29" spans="1:5" x14ac:dyDescent="0.2">
      <c r="A29" s="54" t="s">
        <v>91</v>
      </c>
      <c r="B29">
        <v>71.624452939881607</v>
      </c>
      <c r="C29">
        <v>18.518525293995864</v>
      </c>
      <c r="D29" s="59">
        <v>71.272763049249861</v>
      </c>
      <c r="E29" s="60">
        <v>19.903880330249411</v>
      </c>
    </row>
    <row r="30" spans="1:5" ht="16" thickBot="1" x14ac:dyDescent="0.25">
      <c r="A30" s="55" t="s">
        <v>27</v>
      </c>
      <c r="B30" s="65">
        <v>16.557197341248973</v>
      </c>
      <c r="C30" s="65">
        <v>26.491656087074094</v>
      </c>
      <c r="D30" s="61">
        <v>13.765810366973335</v>
      </c>
      <c r="E30" s="62">
        <v>27.341987063321291</v>
      </c>
    </row>
    <row r="34" spans="1:1" x14ac:dyDescent="0.2">
      <c r="A34" s="52" t="s">
        <v>73</v>
      </c>
    </row>
  </sheetData>
  <sheetProtection algorithmName="SHA-512" hashValue="+ytItOt7o58ZkMKaNiMTg8JmZPE/0ddDs5yP+1Tpe5RR2dZPFh3Z/IBg3r2vr6DHWdzQOLBxW+3Yw6LcRYBOOA==" saltValue="cBWqv1S28ALbbWSIMU6XdA==" spinCount="100000" sheet="1" objects="1" scenarios="1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Instructions</vt:lpstr>
      <vt:lpstr>Norms Calculator</vt:lpstr>
      <vt:lpstr>Regression</vt:lpstr>
      <vt:lpstr>Sex</vt:lpstr>
      <vt:lpstr>Age</vt:lpstr>
      <vt:lpstr>Education</vt:lpstr>
      <vt:lpstr>Intercept</vt:lpstr>
      <vt:lpstr>_Age</vt:lpstr>
      <vt:lpstr>_Sex</vt:lpstr>
      <vt:lpstr>Education</vt:lpstr>
      <vt:lpstr>Intercept</vt:lpstr>
      <vt:lpstr>Regression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Dr Maria Marquine, Ph.D.</cp:lastModifiedBy>
  <dcterms:created xsi:type="dcterms:W3CDTF">2011-02-11T15:45:55Z</dcterms:created>
  <dcterms:modified xsi:type="dcterms:W3CDTF">2026-04-11T22:02:36Z</dcterms:modified>
</cp:coreProperties>
</file>